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6.xml" ContentType="application/vnd.openxmlformats-officedocument.drawing+xml"/>
  <Override PartName="/xl/ctrlProps/ctrlProp24.xml" ContentType="application/vnd.ms-excel.controlproperties+xml"/>
  <Override PartName="/xl/ctrlProps/ctrlProp25.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ctrlProps/ctrlProp26.xml" ContentType="application/vnd.ms-excel.controlpropertie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trlProps/ctrlProp27.xml" ContentType="application/vnd.ms-excel.controlproperties+xml"/>
  <Override PartName="/xl/ctrlProps/ctrlProp28.xml" ContentType="application/vnd.ms-excel.controlproperties+xml"/>
  <Override PartName="/xl/comments1.xml" ContentType="application/vnd.openxmlformats-officedocument.spreadsheetml.comments+xml"/>
  <Override PartName="/xl/drawings/drawing15.xml" ContentType="application/vnd.openxmlformats-officedocument.drawing+xml"/>
  <Override PartName="/xl/ctrlProps/ctrlProp29.xml" ContentType="application/vnd.ms-excel.controlproperties+xml"/>
  <Override PartName="/xl/ctrlProps/ctrlProp30.xml" ContentType="application/vnd.ms-excel.controlproperties+xml"/>
  <Override PartName="/xl/comments2.xml" ContentType="application/vnd.openxmlformats-officedocument.spreadsheetml.comments+xml"/>
  <Override PartName="/xl/drawings/drawing16.xml" ContentType="application/vnd.openxmlformats-officedocument.drawing+xml"/>
  <Override PartName="/xl/ctrlProps/ctrlProp31.xml" ContentType="application/vnd.ms-excel.controlproperties+xml"/>
  <Override PartName="/xl/ctrlProps/ctrlProp32.xml" ContentType="application/vnd.ms-excel.controlproperties+xml"/>
  <Override PartName="/xl/comments3.xml" ContentType="application/vnd.openxmlformats-officedocument.spreadsheetml.comments+xml"/>
  <Override PartName="/xl/drawings/drawing17.xml" ContentType="application/vnd.openxmlformats-officedocument.drawing+xml"/>
  <Override PartName="/xl/ctrlProps/ctrlProp33.xml" ContentType="application/vnd.ms-excel.controlproperties+xml"/>
  <Override PartName="/xl/ctrlProps/ctrlProp34.xml" ContentType="application/vnd.ms-excel.controlproperties+xml"/>
  <Override PartName="/xl/comments4.xml" ContentType="application/vnd.openxmlformats-officedocument.spreadsheetml.comments+xml"/>
  <Override PartName="/xl/drawings/drawing18.xml" ContentType="application/vnd.openxmlformats-officedocument.drawing+xml"/>
  <Override PartName="/xl/ctrlProps/ctrlProp35.xml" ContentType="application/vnd.ms-excel.controlproperties+xml"/>
  <Override PartName="/xl/ctrlProps/ctrlProp36.xml" ContentType="application/vnd.ms-excel.controlproperties+xml"/>
  <Override PartName="/xl/comments5.xml" ContentType="application/vnd.openxmlformats-officedocument.spreadsheetml.comments+xml"/>
  <Override PartName="/xl/drawings/drawing19.xml" ContentType="application/vnd.openxmlformats-officedocument.drawing+xml"/>
  <Override PartName="/xl/ctrlProps/ctrlProp37.xml" ContentType="application/vnd.ms-excel.controlproperties+xml"/>
  <Override PartName="/xl/ctrlProps/ctrlProp38.xml" ContentType="application/vnd.ms-excel.controlproperties+xml"/>
  <Override PartName="/xl/comments6.xml" ContentType="application/vnd.openxmlformats-officedocument.spreadsheetml.comments+xml"/>
  <Override PartName="/xl/drawings/drawing20.xml" ContentType="application/vnd.openxmlformats-officedocument.drawing+xml"/>
  <Override PartName="/xl/ctrlProps/ctrlProp39.xml" ContentType="application/vnd.ms-excel.controlproperties+xml"/>
  <Override PartName="/xl/ctrlProps/ctrlProp40.xml" ContentType="application/vnd.ms-excel.controlproperties+xml"/>
  <Override PartName="/xl/comments7.xml" ContentType="application/vnd.openxmlformats-officedocument.spreadsheetml.comments+xml"/>
  <Override PartName="/xl/drawings/drawing21.xml" ContentType="application/vnd.openxmlformats-officedocument.drawing+xml"/>
  <Override PartName="/xl/ctrlProps/ctrlProp41.xml" ContentType="application/vnd.ms-excel.controlproperties+xml"/>
  <Override PartName="/xl/ctrlProps/ctrlProp42.xml" ContentType="application/vnd.ms-excel.controlproperties+xml"/>
  <Override PartName="/xl/comments8.xml" ContentType="application/vnd.openxmlformats-officedocument.spreadsheetml.comments+xml"/>
  <Override PartName="/xl/drawings/drawing22.xml" ContentType="application/vnd.openxmlformats-officedocument.drawing+xml"/>
  <Override PartName="/xl/ctrlProps/ctrlProp43.xml" ContentType="application/vnd.ms-excel.controlproperties+xml"/>
  <Override PartName="/xl/ctrlProps/ctrlProp44.xml" ContentType="application/vnd.ms-excel.controlproperties+xml"/>
  <Override PartName="/xl/comments9.xml" ContentType="application/vnd.openxmlformats-officedocument.spreadsheetml.comments+xml"/>
  <Override PartName="/xl/drawings/drawing23.xml" ContentType="application/vnd.openxmlformats-officedocument.drawing+xml"/>
  <Override PartName="/xl/drawings/drawing24.xml" ContentType="application/vnd.openxmlformats-officedocument.drawing+xml"/>
  <Override PartName="/xl/ctrlProps/ctrlProp45.xml" ContentType="application/vnd.ms-excel.controlproperties+xml"/>
  <Override PartName="/xl/ctrlProps/ctrlProp46.xml" ContentType="application/vnd.ms-excel.controlproperties+xml"/>
  <Override PartName="/xl/comments10.xml" ContentType="application/vnd.openxmlformats-officedocument.spreadsheetml.comments+xml"/>
  <Override PartName="/xl/drawings/drawing25.xml" ContentType="application/vnd.openxmlformats-officedocument.drawing+xml"/>
  <Override PartName="/xl/ctrlProps/ctrlProp47.xml" ContentType="application/vnd.ms-excel.controlproperties+xml"/>
  <Override PartName="/xl/ctrlProps/ctrlProp48.xml" ContentType="application/vnd.ms-excel.controlproperties+xml"/>
  <Override PartName="/xl/comments11.xml" ContentType="application/vnd.openxmlformats-officedocument.spreadsheetml.comments+xml"/>
  <Override PartName="/xl/drawings/drawing26.xml" ContentType="application/vnd.openxmlformats-officedocument.drawing+xml"/>
  <Override PartName="/xl/ctrlProps/ctrlProp49.xml" ContentType="application/vnd.ms-excel.controlproperties+xml"/>
  <Override PartName="/xl/ctrlProps/ctrlProp50.xml" ContentType="application/vnd.ms-excel.controlproperties+xml"/>
  <Override PartName="/xl/comments12.xml" ContentType="application/vnd.openxmlformats-officedocument.spreadsheetml.comments+xml"/>
  <Override PartName="/xl/drawings/drawing27.xml" ContentType="application/vnd.openxmlformats-officedocument.drawing+xml"/>
  <Override PartName="/xl/ctrlProps/ctrlProp51.xml" ContentType="application/vnd.ms-excel.controlproperties+xml"/>
  <Override PartName="/xl/ctrlProps/ctrlProp52.xml" ContentType="application/vnd.ms-excel.controlproperties+xml"/>
  <Override PartName="/xl/comments13.xml" ContentType="application/vnd.openxmlformats-officedocument.spreadsheetml.comments+xml"/>
  <Override PartName="/xl/drawings/drawing28.xml" ContentType="application/vnd.openxmlformats-officedocument.drawing+xml"/>
  <Override PartName="/xl/drawings/drawing29.xml" ContentType="application/vnd.openxmlformats-officedocument.drawing+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omments14.xml" ContentType="application/vnd.openxmlformats-officedocument.spreadsheetml.comments+xml"/>
  <Override PartName="/xl/drawings/drawing30.xml" ContentType="application/vnd.openxmlformats-officedocument.drawing+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omments15.xml" ContentType="application/vnd.openxmlformats-officedocument.spreadsheetml.comments+xml"/>
  <Override PartName="/xl/drawings/drawing31.xml" ContentType="application/vnd.openxmlformats-officedocument.drawing+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omments16.xml" ContentType="application/vnd.openxmlformats-officedocument.spreadsheetml.comments+xml"/>
  <Override PartName="/xl/drawings/drawing32.xml" ContentType="application/vnd.openxmlformats-officedocument.drawing+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omments17.xml" ContentType="application/vnd.openxmlformats-officedocument.spreadsheetml.comments+xml"/>
  <Override PartName="/xl/drawings/drawing33.xml" ContentType="application/vnd.openxmlformats-officedocument.drawing+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omments18.xml" ContentType="application/vnd.openxmlformats-officedocument.spreadsheetml.comments+xml"/>
  <Override PartName="/xl/drawings/drawing34.xml" ContentType="application/vnd.openxmlformats-officedocument.drawing+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omments19.xml" ContentType="application/vnd.openxmlformats-officedocument.spreadsheetml.comments+xml"/>
  <Override PartName="/xl/drawings/drawing35.xml" ContentType="application/vnd.openxmlformats-officedocument.drawing+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omments20.xml" ContentType="application/vnd.openxmlformats-officedocument.spreadsheetml.comments+xml"/>
  <Override PartName="/xl/drawings/drawing36.xml" ContentType="application/vnd.openxmlformats-officedocument.drawing+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omments21.xml" ContentType="application/vnd.openxmlformats-officedocument.spreadsheetml.comments+xml"/>
  <Override PartName="/xl/drawings/drawing37.xml" ContentType="application/vnd.openxmlformats-officedocument.drawing+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omments22.xml" ContentType="application/vnd.openxmlformats-officedocument.spreadsheetml.comments+xml"/>
  <Override PartName="/xl/drawings/drawing38.xml" ContentType="application/vnd.openxmlformats-officedocument.drawing+xml"/>
  <Override PartName="/xl/drawings/drawing39.xml" ContentType="application/vnd.openxmlformats-officedocument.drawing+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omments23.xml" ContentType="application/vnd.openxmlformats-officedocument.spreadsheetml.comments+xml"/>
  <Override PartName="/xl/drawings/drawing40.xml" ContentType="application/vnd.openxmlformats-officedocument.drawing+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omments24.xml" ContentType="application/vnd.openxmlformats-officedocument.spreadsheetml.comments+xml"/>
  <Override PartName="/xl/drawings/drawing41.xml" ContentType="application/vnd.openxmlformats-officedocument.drawing+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omments25.xml" ContentType="application/vnd.openxmlformats-officedocument.spreadsheetml.comments+xml"/>
  <Override PartName="/xl/drawings/drawing42.xml" ContentType="application/vnd.openxmlformats-officedocument.drawing+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omments26.xml" ContentType="application/vnd.openxmlformats-officedocument.spreadsheetml.comments+xml"/>
  <Override PartName="/xl/drawings/drawing4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codeName="ThisWorkbook"/>
  <mc:AlternateContent xmlns:mc="http://schemas.openxmlformats.org/markup-compatibility/2006">
    <mc:Choice Requires="x15">
      <x15ac:absPath xmlns:x15ac="http://schemas.microsoft.com/office/spreadsheetml/2010/11/ac" url="https://haskennisplein.sharepoint.com/sites/LectoraatInnovatiefOndernemenmetNatuur/Gedeelde documenten/General/01 Projecten Lopend/17 (commercieel) Rekentool NIL - PNB/Eindproducten BO (feb 22 - jul 22)/"/>
    </mc:Choice>
  </mc:AlternateContent>
  <xr:revisionPtr revIDLastSave="200" documentId="8_{16FA8F51-A80B-4B9B-844A-7B9EE55DCDC1}" xr6:coauthVersionLast="47" xr6:coauthVersionMax="47" xr10:uidLastSave="{EF6B5293-9926-4687-B658-F701C859F33E}"/>
  <workbookProtection lockStructure="1"/>
  <bookViews>
    <workbookView xWindow="28680" yWindow="-120" windowWidth="29040" windowHeight="15840" tabRatio="737" xr2:uid="{5B5BDB59-0D45-474F-AC22-E6946B68E5DE}"/>
  </bookViews>
  <sheets>
    <sheet name="Inleiding" sheetId="10" r:id="rId1"/>
    <sheet name="Extra land" sheetId="3" r:id="rId2"/>
    <sheet name="Bouwplan" sheetId="5" r:id="rId3"/>
    <sheet name="Voer" sheetId="25" r:id="rId4"/>
    <sheet name="Melkproductie" sheetId="6" r:id="rId5"/>
    <sheet name="Toegerekende kosten koe" sheetId="52" r:id="rId6"/>
    <sheet name="Resultaat" sheetId="9" r:id="rId7"/>
    <sheet name="Fosfaatrechten" sheetId="59" r:id="rId8"/>
    <sheet name="Toelichting voerpositie" sheetId="58" r:id="rId9"/>
    <sheet name="Ruwvoer aankoop" sheetId="53" r:id="rId10"/>
    <sheet name="Ruwvoer besparing&amp;verkoop" sheetId="54" r:id="rId11"/>
    <sheet name="Krachtvoer aankoop" sheetId="55" r:id="rId12"/>
    <sheet name="Krachtvoer besparing" sheetId="56" r:id="rId13"/>
    <sheet name="Grasland (blijvend) huidig" sheetId="32" r:id="rId14"/>
    <sheet name="Grasland (tijdelijk) huidig" sheetId="13" r:id="rId15"/>
    <sheet name="Grasklaver huidig" sheetId="27" r:id="rId16"/>
    <sheet name="Kruidenrijk grasland huidig" sheetId="28" r:id="rId17"/>
    <sheet name="Luzerne huidig" sheetId="33" r:id="rId18"/>
    <sheet name="Natuurgras huidig" sheetId="29" r:id="rId19"/>
    <sheet name="Maisland huidig" sheetId="30" r:id="rId20"/>
    <sheet name="Voederbieten huidig" sheetId="31" r:id="rId21"/>
    <sheet name="Sorghum huidig" sheetId="34" r:id="rId22"/>
    <sheet name="Anders ruwvoer huidig" sheetId="61" r:id="rId23"/>
    <sheet name="Veldbonen huidig" sheetId="35" r:id="rId24"/>
    <sheet name="Soja huidig" sheetId="36" r:id="rId25"/>
    <sheet name="MKS huidig" sheetId="37" r:id="rId26"/>
    <sheet name="CCM huidig" sheetId="38" r:id="rId27"/>
    <sheet name="Anders krachtvoer huidig" sheetId="62" r:id="rId28"/>
    <sheet name="Grasland (blijvend) nieuw" sheetId="39" r:id="rId29"/>
    <sheet name="Grasland (tijdelijk) nieuw" sheetId="40" r:id="rId30"/>
    <sheet name="Grasklaver nieuw" sheetId="41" r:id="rId31"/>
    <sheet name="Kruidenrijk grasland nieuw" sheetId="42" r:id="rId32"/>
    <sheet name="Luzerne nieuw" sheetId="46" r:id="rId33"/>
    <sheet name="Natuurgras nieuw" sheetId="43" r:id="rId34"/>
    <sheet name="Maisland nieuw" sheetId="44" r:id="rId35"/>
    <sheet name="Voederbieten nieuw" sheetId="45" r:id="rId36"/>
    <sheet name="Sorghum nieuw" sheetId="47" r:id="rId37"/>
    <sheet name="Anders ruwvoer nieuw" sheetId="63" r:id="rId38"/>
    <sheet name="Veldbonen nieuw" sheetId="48" r:id="rId39"/>
    <sheet name="Soja nieuw" sheetId="49" r:id="rId40"/>
    <sheet name="MKS nieuw" sheetId="50" r:id="rId41"/>
    <sheet name="CCM nieuw" sheetId="51" r:id="rId42"/>
    <sheet name="Anders krachtvoer nieuw" sheetId="64" r:id="rId43"/>
    <sheet name="Gegevens" sheetId="57" state="hidden" r:id="rId44"/>
  </sheets>
  <definedNames>
    <definedName name="_xlnm._FilterDatabase" localSheetId="1" hidden="1">'Extra land'!$C$20:$F$21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0" i="32" l="1"/>
  <c r="L42" i="58" l="1"/>
  <c r="K42" i="58"/>
  <c r="J42" i="58"/>
  <c r="L28" i="58"/>
  <c r="K28" i="58"/>
  <c r="J28" i="58"/>
  <c r="F42" i="58"/>
  <c r="E42" i="58"/>
  <c r="D42" i="58"/>
  <c r="F28" i="58"/>
  <c r="E28" i="58"/>
  <c r="D28" i="58"/>
  <c r="I42" i="58"/>
  <c r="C42" i="58"/>
  <c r="I28" i="58"/>
  <c r="C28" i="58"/>
  <c r="J44" i="5"/>
  <c r="T6" i="5" s="1"/>
  <c r="C44" i="5"/>
  <c r="R7" i="5" s="1"/>
  <c r="K42" i="5"/>
  <c r="K30" i="5"/>
  <c r="L30" i="5" s="1"/>
  <c r="I42" i="5"/>
  <c r="H42" i="58" s="1"/>
  <c r="I30" i="5"/>
  <c r="H28" i="58" s="1"/>
  <c r="C36" i="64"/>
  <c r="C35" i="64"/>
  <c r="C32" i="64"/>
  <c r="C34" i="64" s="1"/>
  <c r="C27" i="64"/>
  <c r="C22" i="64"/>
  <c r="C16" i="64"/>
  <c r="C36" i="63"/>
  <c r="C35" i="63"/>
  <c r="C32" i="63"/>
  <c r="C27" i="63"/>
  <c r="C22" i="63"/>
  <c r="C34" i="63" s="1"/>
  <c r="C16" i="63"/>
  <c r="D42" i="5"/>
  <c r="E42" i="5" s="1"/>
  <c r="B42" i="5"/>
  <c r="B42" i="58" s="1"/>
  <c r="C36" i="62"/>
  <c r="C35" i="62"/>
  <c r="C32" i="62"/>
  <c r="C34" i="62" s="1"/>
  <c r="C27" i="62"/>
  <c r="C22" i="62"/>
  <c r="C16" i="62"/>
  <c r="B30" i="5"/>
  <c r="B28" i="58" s="1"/>
  <c r="D30" i="5"/>
  <c r="E30" i="5" s="1"/>
  <c r="C36" i="61"/>
  <c r="C35" i="61"/>
  <c r="C34" i="61"/>
  <c r="C32" i="61"/>
  <c r="C27" i="61"/>
  <c r="C22" i="61"/>
  <c r="C16" i="61"/>
  <c r="L42" i="5"/>
  <c r="T7" i="5" l="1"/>
  <c r="R6" i="5"/>
  <c r="G61" i="25"/>
  <c r="G60" i="25"/>
  <c r="G59" i="25"/>
  <c r="G58" i="25"/>
  <c r="G57" i="25"/>
  <c r="F61" i="25"/>
  <c r="F60" i="25"/>
  <c r="F59" i="25"/>
  <c r="F58" i="25"/>
  <c r="F57" i="25"/>
  <c r="E61" i="25"/>
  <c r="E60" i="25"/>
  <c r="E59" i="25"/>
  <c r="E58" i="25"/>
  <c r="E57" i="25"/>
  <c r="D61" i="25"/>
  <c r="D60" i="25"/>
  <c r="D59" i="25"/>
  <c r="D58" i="25"/>
  <c r="D57" i="25"/>
  <c r="G53" i="25"/>
  <c r="G52" i="25"/>
  <c r="G51" i="25"/>
  <c r="G50" i="25"/>
  <c r="G49" i="25"/>
  <c r="F53" i="25"/>
  <c r="F52" i="25"/>
  <c r="F51" i="25"/>
  <c r="F50" i="25"/>
  <c r="F49" i="25"/>
  <c r="E53" i="25"/>
  <c r="E52" i="25"/>
  <c r="E51" i="25"/>
  <c r="E50" i="25"/>
  <c r="E49" i="25"/>
  <c r="D53" i="25"/>
  <c r="D52" i="25"/>
  <c r="D51" i="25"/>
  <c r="D50" i="25"/>
  <c r="D49" i="25"/>
  <c r="G45" i="25"/>
  <c r="G44" i="25"/>
  <c r="G43" i="25"/>
  <c r="G42" i="25"/>
  <c r="G41" i="25"/>
  <c r="F45" i="25"/>
  <c r="F44" i="25"/>
  <c r="F43" i="25"/>
  <c r="F42" i="25"/>
  <c r="F41" i="25"/>
  <c r="E45" i="25"/>
  <c r="E44" i="25"/>
  <c r="E43" i="25"/>
  <c r="E42" i="25"/>
  <c r="E41" i="25"/>
  <c r="D45" i="25"/>
  <c r="D44" i="25"/>
  <c r="D43" i="25"/>
  <c r="D42" i="25"/>
  <c r="D41" i="25"/>
  <c r="E21" i="9"/>
  <c r="F23" i="59"/>
  <c r="F15" i="59"/>
  <c r="F17" i="3"/>
  <c r="F15" i="3"/>
  <c r="F16" i="3"/>
  <c r="F14" i="3"/>
  <c r="C15" i="59"/>
  <c r="C23" i="59"/>
  <c r="E7" i="59"/>
  <c r="E6" i="59"/>
  <c r="C6" i="59"/>
  <c r="C7" i="59"/>
  <c r="I22" i="6"/>
  <c r="C10" i="58"/>
  <c r="I10" i="58"/>
  <c r="C12" i="58"/>
  <c r="I12" i="58"/>
  <c r="C14" i="58"/>
  <c r="I14" i="58"/>
  <c r="C16" i="58"/>
  <c r="I16" i="58"/>
  <c r="C18" i="58"/>
  <c r="I18" i="58"/>
  <c r="C20" i="58"/>
  <c r="I20" i="58"/>
  <c r="C22" i="58"/>
  <c r="I22" i="58"/>
  <c r="C24" i="58"/>
  <c r="I24" i="58"/>
  <c r="C26" i="58"/>
  <c r="I26" i="58"/>
  <c r="C34" i="58"/>
  <c r="I34" i="58"/>
  <c r="I35" i="58"/>
  <c r="C36" i="58"/>
  <c r="I36" i="58"/>
  <c r="I37" i="58"/>
  <c r="C38" i="58"/>
  <c r="I38" i="58"/>
  <c r="I39" i="58"/>
  <c r="C40" i="58"/>
  <c r="I40" i="58"/>
  <c r="C13" i="52"/>
  <c r="C22" i="52"/>
  <c r="C20" i="52"/>
  <c r="C17" i="52"/>
  <c r="C16" i="52"/>
  <c r="D18" i="52" s="1"/>
  <c r="C12" i="52"/>
  <c r="C11" i="52"/>
  <c r="G19" i="6"/>
  <c r="G20" i="6"/>
  <c r="G21" i="6"/>
  <c r="G22" i="6"/>
  <c r="G23" i="6"/>
  <c r="D19" i="6"/>
  <c r="D20" i="6"/>
  <c r="D21" i="6"/>
  <c r="D22" i="6"/>
  <c r="D23" i="6"/>
  <c r="G18" i="6"/>
  <c r="D18" i="6"/>
  <c r="C14" i="6"/>
  <c r="L12" i="56"/>
  <c r="I12" i="56"/>
  <c r="F12" i="56"/>
  <c r="F29" i="56" s="1"/>
  <c r="B12" i="56"/>
  <c r="B29" i="56" s="1"/>
  <c r="L11" i="56"/>
  <c r="I28" i="56" s="1"/>
  <c r="I11" i="56"/>
  <c r="G28" i="56" s="1"/>
  <c r="F11" i="56"/>
  <c r="F28" i="56" s="1"/>
  <c r="B11" i="56"/>
  <c r="B28" i="56" s="1"/>
  <c r="L10" i="56"/>
  <c r="I10" i="56"/>
  <c r="F10" i="56"/>
  <c r="F27" i="56" s="1"/>
  <c r="B10" i="56"/>
  <c r="B27" i="56" s="1"/>
  <c r="L9" i="56"/>
  <c r="I26" i="56" s="1"/>
  <c r="I9" i="56"/>
  <c r="G26" i="56" s="1"/>
  <c r="F9" i="56"/>
  <c r="F26" i="56" s="1"/>
  <c r="B9" i="56"/>
  <c r="B26" i="56" s="1"/>
  <c r="L8" i="56"/>
  <c r="I8" i="56"/>
  <c r="G25" i="56" s="1"/>
  <c r="F8" i="56"/>
  <c r="F25" i="56" s="1"/>
  <c r="B8" i="56"/>
  <c r="B25" i="56" s="1"/>
  <c r="L7" i="56"/>
  <c r="I24" i="56" s="1"/>
  <c r="I7" i="56"/>
  <c r="G24" i="56" s="1"/>
  <c r="F7" i="56"/>
  <c r="F24" i="56" s="1"/>
  <c r="B7" i="56"/>
  <c r="B24" i="56" s="1"/>
  <c r="L6" i="56"/>
  <c r="I6" i="56"/>
  <c r="F6" i="56"/>
  <c r="F23" i="56" s="1"/>
  <c r="B6" i="56"/>
  <c r="B7" i="55"/>
  <c r="B24" i="55" s="1"/>
  <c r="F7" i="55"/>
  <c r="F24" i="55" s="1"/>
  <c r="I7" i="55"/>
  <c r="G24" i="55" s="1"/>
  <c r="L7" i="55"/>
  <c r="I24" i="55" s="1"/>
  <c r="B8" i="55"/>
  <c r="B25" i="55" s="1"/>
  <c r="F8" i="55"/>
  <c r="F25" i="55" s="1"/>
  <c r="I8" i="55"/>
  <c r="G25" i="55" s="1"/>
  <c r="L8" i="55"/>
  <c r="I25" i="55" s="1"/>
  <c r="B9" i="55"/>
  <c r="B26" i="55" s="1"/>
  <c r="F9" i="55"/>
  <c r="F26" i="55" s="1"/>
  <c r="I9" i="55"/>
  <c r="G26" i="55" s="1"/>
  <c r="L9" i="55"/>
  <c r="I26" i="55" s="1"/>
  <c r="B10" i="55"/>
  <c r="B27" i="55" s="1"/>
  <c r="F10" i="55"/>
  <c r="F27" i="55" s="1"/>
  <c r="I10" i="55"/>
  <c r="G27" i="55" s="1"/>
  <c r="L10" i="55"/>
  <c r="I27" i="55" s="1"/>
  <c r="B11" i="55"/>
  <c r="B28" i="55" s="1"/>
  <c r="F11" i="55"/>
  <c r="F28" i="55" s="1"/>
  <c r="I11" i="55"/>
  <c r="G28" i="55" s="1"/>
  <c r="L11" i="55"/>
  <c r="I28" i="55" s="1"/>
  <c r="B12" i="55"/>
  <c r="B29" i="55" s="1"/>
  <c r="F12" i="55"/>
  <c r="I12" i="55"/>
  <c r="G29" i="55" s="1"/>
  <c r="L12" i="55"/>
  <c r="I29" i="55" s="1"/>
  <c r="L6" i="55"/>
  <c r="I23" i="55" s="1"/>
  <c r="I6" i="55"/>
  <c r="G23" i="55" s="1"/>
  <c r="F6" i="55"/>
  <c r="F23" i="55" s="1"/>
  <c r="B6" i="55"/>
  <c r="B23" i="55" s="1"/>
  <c r="L13" i="54"/>
  <c r="I30" i="54" s="1"/>
  <c r="I13" i="54"/>
  <c r="F13" i="54"/>
  <c r="F30" i="54" s="1"/>
  <c r="B13" i="54"/>
  <c r="L12" i="54"/>
  <c r="I29" i="54" s="1"/>
  <c r="I12" i="54"/>
  <c r="G29" i="54" s="1"/>
  <c r="F12" i="54"/>
  <c r="F29" i="54" s="1"/>
  <c r="B12" i="54"/>
  <c r="B29" i="54" s="1"/>
  <c r="L11" i="54"/>
  <c r="I28" i="54" s="1"/>
  <c r="I11" i="54"/>
  <c r="G28" i="54" s="1"/>
  <c r="F11" i="54"/>
  <c r="F28" i="54" s="1"/>
  <c r="B11" i="54"/>
  <c r="B28" i="54" s="1"/>
  <c r="L10" i="54"/>
  <c r="I10" i="54"/>
  <c r="G27" i="54" s="1"/>
  <c r="F10" i="54"/>
  <c r="F27" i="54" s="1"/>
  <c r="B10" i="54"/>
  <c r="B27" i="54" s="1"/>
  <c r="L9" i="54"/>
  <c r="I26" i="54" s="1"/>
  <c r="I9" i="54"/>
  <c r="G26" i="54" s="1"/>
  <c r="F9" i="54"/>
  <c r="F26" i="54" s="1"/>
  <c r="B9" i="54"/>
  <c r="B26" i="54" s="1"/>
  <c r="L8" i="54"/>
  <c r="I25" i="54" s="1"/>
  <c r="I8" i="54"/>
  <c r="G25" i="54" s="1"/>
  <c r="F8" i="54"/>
  <c r="F25" i="54" s="1"/>
  <c r="B8" i="54"/>
  <c r="B25" i="54" s="1"/>
  <c r="L7" i="54"/>
  <c r="I24" i="54" s="1"/>
  <c r="I7" i="54"/>
  <c r="G24" i="54" s="1"/>
  <c r="F7" i="54"/>
  <c r="F24" i="54" s="1"/>
  <c r="B7" i="54"/>
  <c r="B24" i="54" s="1"/>
  <c r="L6" i="54"/>
  <c r="I23" i="54" s="1"/>
  <c r="G23" i="54"/>
  <c r="F6" i="54"/>
  <c r="F23" i="54" s="1"/>
  <c r="B6" i="54"/>
  <c r="B23" i="54" s="1"/>
  <c r="L7" i="53"/>
  <c r="L8" i="53"/>
  <c r="I25" i="53" s="1"/>
  <c r="L9" i="53"/>
  <c r="I26" i="53" s="1"/>
  <c r="L10" i="53"/>
  <c r="I27" i="53" s="1"/>
  <c r="L11" i="53"/>
  <c r="L12" i="53"/>
  <c r="I29" i="53" s="1"/>
  <c r="L13" i="53"/>
  <c r="I30" i="53" s="1"/>
  <c r="I7" i="53"/>
  <c r="G24" i="53" s="1"/>
  <c r="I8" i="53"/>
  <c r="G25" i="53" s="1"/>
  <c r="I9" i="53"/>
  <c r="G26" i="53" s="1"/>
  <c r="I10" i="53"/>
  <c r="G27" i="53" s="1"/>
  <c r="I11" i="53"/>
  <c r="G28" i="53" s="1"/>
  <c r="I12" i="53"/>
  <c r="G29" i="53" s="1"/>
  <c r="I13" i="53"/>
  <c r="G30" i="53" s="1"/>
  <c r="F7" i="53"/>
  <c r="F24" i="53" s="1"/>
  <c r="F8" i="53"/>
  <c r="F25" i="53" s="1"/>
  <c r="F9" i="53"/>
  <c r="F26" i="53" s="1"/>
  <c r="F10" i="53"/>
  <c r="F27" i="53" s="1"/>
  <c r="F11" i="53"/>
  <c r="F28" i="53" s="1"/>
  <c r="F12" i="53"/>
  <c r="F29" i="53" s="1"/>
  <c r="F13" i="53"/>
  <c r="F30" i="53" s="1"/>
  <c r="B7" i="53"/>
  <c r="B24" i="53" s="1"/>
  <c r="B8" i="53"/>
  <c r="B25" i="53" s="1"/>
  <c r="B9" i="53"/>
  <c r="B26" i="53" s="1"/>
  <c r="B10" i="53"/>
  <c r="B27" i="53" s="1"/>
  <c r="B11" i="53"/>
  <c r="B28" i="53" s="1"/>
  <c r="B12" i="53"/>
  <c r="B13" i="53"/>
  <c r="L6" i="53"/>
  <c r="I23" i="53" s="1"/>
  <c r="F6" i="53"/>
  <c r="F23" i="53" s="1"/>
  <c r="B6" i="53"/>
  <c r="B23" i="53" s="1"/>
  <c r="D21" i="25"/>
  <c r="D24" i="25" s="1"/>
  <c r="C33" i="38"/>
  <c r="C34" i="51" s="1"/>
  <c r="C32" i="38"/>
  <c r="C33" i="51" s="1"/>
  <c r="C31" i="38"/>
  <c r="D33" i="38" s="1"/>
  <c r="D34" i="51" s="1"/>
  <c r="C28" i="38"/>
  <c r="C29" i="51" s="1"/>
  <c r="C27" i="38"/>
  <c r="C28" i="51" s="1"/>
  <c r="C26" i="38"/>
  <c r="D27" i="51" s="1"/>
  <c r="C23" i="38"/>
  <c r="C24" i="51" s="1"/>
  <c r="C22" i="38"/>
  <c r="C23" i="51" s="1"/>
  <c r="C21" i="38"/>
  <c r="C22" i="51" s="1"/>
  <c r="C20" i="38"/>
  <c r="D21" i="51" s="1"/>
  <c r="C17" i="38"/>
  <c r="C18" i="51" s="1"/>
  <c r="C16" i="38"/>
  <c r="D17" i="51" s="1"/>
  <c r="C15" i="38"/>
  <c r="D16" i="51" s="1"/>
  <c r="C14" i="38"/>
  <c r="D15" i="51" s="1"/>
  <c r="C11" i="38"/>
  <c r="C12" i="51" s="1"/>
  <c r="L40" i="58" s="1"/>
  <c r="C10" i="38"/>
  <c r="C11" i="51" s="1"/>
  <c r="K40" i="58" s="1"/>
  <c r="C9" i="38"/>
  <c r="D40" i="58" s="1"/>
  <c r="C33" i="37"/>
  <c r="C34" i="50" s="1"/>
  <c r="C32" i="37"/>
  <c r="D33" i="50" s="1"/>
  <c r="C31" i="37"/>
  <c r="C28" i="37"/>
  <c r="C27" i="37"/>
  <c r="C28" i="50" s="1"/>
  <c r="C26" i="37"/>
  <c r="D27" i="50" s="1"/>
  <c r="C23" i="37"/>
  <c r="C24" i="50" s="1"/>
  <c r="C22" i="37"/>
  <c r="C23" i="50" s="1"/>
  <c r="C21" i="37"/>
  <c r="D22" i="50" s="1"/>
  <c r="C20" i="37"/>
  <c r="C21" i="50" s="1"/>
  <c r="C17" i="37"/>
  <c r="C18" i="50" s="1"/>
  <c r="C16" i="37"/>
  <c r="C15" i="37"/>
  <c r="C14" i="37"/>
  <c r="D15" i="50" s="1"/>
  <c r="C10" i="37"/>
  <c r="E38" i="58" s="1"/>
  <c r="C11" i="37"/>
  <c r="F38" i="58" s="1"/>
  <c r="C9" i="37"/>
  <c r="D38" i="58" s="1"/>
  <c r="C33" i="36"/>
  <c r="C32" i="36"/>
  <c r="C33" i="49" s="1"/>
  <c r="C31" i="36"/>
  <c r="D32" i="49" s="1"/>
  <c r="C28" i="36"/>
  <c r="C29" i="49" s="1"/>
  <c r="C27" i="36"/>
  <c r="C28" i="49" s="1"/>
  <c r="C26" i="36"/>
  <c r="C23" i="36"/>
  <c r="C24" i="49" s="1"/>
  <c r="C22" i="36"/>
  <c r="D23" i="49" s="1"/>
  <c r="C21" i="36"/>
  <c r="C22" i="49" s="1"/>
  <c r="C20" i="36"/>
  <c r="C21" i="49" s="1"/>
  <c r="C17" i="36"/>
  <c r="C18" i="49" s="1"/>
  <c r="C16" i="36"/>
  <c r="D17" i="49" s="1"/>
  <c r="C15" i="36"/>
  <c r="D16" i="49" s="1"/>
  <c r="C14" i="36"/>
  <c r="C15" i="49" s="1"/>
  <c r="C11" i="36"/>
  <c r="F36" i="58" s="1"/>
  <c r="C10" i="36"/>
  <c r="E36" i="58" s="1"/>
  <c r="C9" i="36"/>
  <c r="D36" i="58" s="1"/>
  <c r="C33" i="35"/>
  <c r="C34" i="48" s="1"/>
  <c r="C32" i="35"/>
  <c r="C31" i="35"/>
  <c r="C32" i="48" s="1"/>
  <c r="C28" i="35"/>
  <c r="C29" i="48" s="1"/>
  <c r="C27" i="35"/>
  <c r="C28" i="48" s="1"/>
  <c r="C26" i="35"/>
  <c r="C27" i="48" s="1"/>
  <c r="C23" i="35"/>
  <c r="C22" i="35"/>
  <c r="C21" i="35"/>
  <c r="D22" i="48" s="1"/>
  <c r="C20" i="35"/>
  <c r="C17" i="35"/>
  <c r="C18" i="48" s="1"/>
  <c r="C16" i="35"/>
  <c r="D17" i="48" s="1"/>
  <c r="C15" i="35"/>
  <c r="D16" i="48" s="1"/>
  <c r="C14" i="35"/>
  <c r="D15" i="48" s="1"/>
  <c r="C10" i="35"/>
  <c r="C11" i="48" s="1"/>
  <c r="K34" i="58" s="1"/>
  <c r="C11" i="35"/>
  <c r="F34" i="58" s="1"/>
  <c r="C9" i="35"/>
  <c r="D34" i="58" s="1"/>
  <c r="C33" i="34"/>
  <c r="C32" i="34"/>
  <c r="D33" i="47" s="1"/>
  <c r="C31" i="34"/>
  <c r="D32" i="47" s="1"/>
  <c r="C28" i="34"/>
  <c r="C29" i="47" s="1"/>
  <c r="C27" i="34"/>
  <c r="D28" i="47" s="1"/>
  <c r="C26" i="34"/>
  <c r="C27" i="47" s="1"/>
  <c r="C23" i="34"/>
  <c r="C22" i="34"/>
  <c r="D23" i="47" s="1"/>
  <c r="C21" i="34"/>
  <c r="D22" i="47" s="1"/>
  <c r="C20" i="34"/>
  <c r="C21" i="47" s="1"/>
  <c r="C17" i="34"/>
  <c r="C18" i="47" s="1"/>
  <c r="C16" i="34"/>
  <c r="C17" i="47" s="1"/>
  <c r="C15" i="34"/>
  <c r="C16" i="47" s="1"/>
  <c r="C14" i="34"/>
  <c r="D15" i="47" s="1"/>
  <c r="C10" i="34"/>
  <c r="E26" i="58" s="1"/>
  <c r="C11" i="34"/>
  <c r="F26" i="58" s="1"/>
  <c r="C9" i="34"/>
  <c r="D26" i="58" s="1"/>
  <c r="C33" i="31"/>
  <c r="C32" i="31"/>
  <c r="D33" i="45" s="1"/>
  <c r="C31" i="31"/>
  <c r="C28" i="31"/>
  <c r="C29" i="45" s="1"/>
  <c r="C27" i="31"/>
  <c r="C28" i="45" s="1"/>
  <c r="C26" i="31"/>
  <c r="C23" i="31"/>
  <c r="C22" i="31"/>
  <c r="D23" i="45" s="1"/>
  <c r="C21" i="31"/>
  <c r="C22" i="45" s="1"/>
  <c r="C20" i="31"/>
  <c r="D21" i="45" s="1"/>
  <c r="C17" i="31"/>
  <c r="C18" i="45" s="1"/>
  <c r="C16" i="31"/>
  <c r="D17" i="45" s="1"/>
  <c r="C15" i="31"/>
  <c r="D16" i="45" s="1"/>
  <c r="C14" i="31"/>
  <c r="D15" i="45" s="1"/>
  <c r="C11" i="31"/>
  <c r="F24" i="58" s="1"/>
  <c r="C10" i="31"/>
  <c r="E24" i="58" s="1"/>
  <c r="C9" i="31"/>
  <c r="D24" i="58" s="1"/>
  <c r="C33" i="30"/>
  <c r="C32" i="30"/>
  <c r="D33" i="44" s="1"/>
  <c r="C31" i="30"/>
  <c r="D32" i="44" s="1"/>
  <c r="C28" i="30"/>
  <c r="C29" i="44" s="1"/>
  <c r="C27" i="30"/>
  <c r="D28" i="44" s="1"/>
  <c r="C26" i="30"/>
  <c r="C27" i="44" s="1"/>
  <c r="C23" i="30"/>
  <c r="C22" i="30"/>
  <c r="C23" i="44" s="1"/>
  <c r="C21" i="30"/>
  <c r="D22" i="44" s="1"/>
  <c r="C20" i="30"/>
  <c r="D21" i="44" s="1"/>
  <c r="C17" i="30"/>
  <c r="C18" i="44" s="1"/>
  <c r="C16" i="30"/>
  <c r="D17" i="44" s="1"/>
  <c r="C15" i="30"/>
  <c r="C16" i="44" s="1"/>
  <c r="C14" i="30"/>
  <c r="D15" i="44" s="1"/>
  <c r="C10" i="30"/>
  <c r="D11" i="44" s="1"/>
  <c r="C11" i="30"/>
  <c r="D12" i="44" s="1"/>
  <c r="C9" i="30"/>
  <c r="D22" i="58" s="1"/>
  <c r="C35" i="29"/>
  <c r="D36" i="43" s="1"/>
  <c r="C34" i="29"/>
  <c r="D35" i="43" s="1"/>
  <c r="C33" i="29"/>
  <c r="C34" i="43" s="1"/>
  <c r="C29" i="29"/>
  <c r="D30" i="43" s="1"/>
  <c r="C28" i="29"/>
  <c r="D29" i="43" s="1"/>
  <c r="C24" i="29"/>
  <c r="C23" i="29"/>
  <c r="C22" i="29"/>
  <c r="C23" i="43" s="1"/>
  <c r="C18" i="29"/>
  <c r="D19" i="43" s="1"/>
  <c r="C17" i="29"/>
  <c r="D18" i="43" s="1"/>
  <c r="C16" i="29"/>
  <c r="D17" i="43" s="1"/>
  <c r="C15" i="29"/>
  <c r="D16" i="43" s="1"/>
  <c r="C14" i="29"/>
  <c r="D15" i="43" s="1"/>
  <c r="C10" i="29"/>
  <c r="E20" i="58" s="1"/>
  <c r="C11" i="29"/>
  <c r="F20" i="58" s="1"/>
  <c r="C9" i="29"/>
  <c r="D20" i="58" s="1"/>
  <c r="C35" i="33"/>
  <c r="C34" i="33"/>
  <c r="C35" i="46" s="1"/>
  <c r="C33" i="33"/>
  <c r="C34" i="46" s="1"/>
  <c r="C29" i="33"/>
  <c r="D30" i="46" s="1"/>
  <c r="C28" i="33"/>
  <c r="D29" i="46" s="1"/>
  <c r="C24" i="33"/>
  <c r="C23" i="33"/>
  <c r="D24" i="46" s="1"/>
  <c r="C22" i="33"/>
  <c r="D23" i="46" s="1"/>
  <c r="C18" i="33"/>
  <c r="D19" i="46" s="1"/>
  <c r="C17" i="33"/>
  <c r="C18" i="46" s="1"/>
  <c r="C16" i="33"/>
  <c r="D17" i="46" s="1"/>
  <c r="C15" i="33"/>
  <c r="C14" i="33"/>
  <c r="C15" i="46" s="1"/>
  <c r="C11" i="33"/>
  <c r="F18" i="58" s="1"/>
  <c r="C10" i="33"/>
  <c r="D11" i="46" s="1"/>
  <c r="C9" i="33"/>
  <c r="D10" i="46" s="1"/>
  <c r="C35" i="28"/>
  <c r="C36" i="42" s="1"/>
  <c r="C34" i="28"/>
  <c r="D35" i="42" s="1"/>
  <c r="C33" i="28"/>
  <c r="C34" i="42" s="1"/>
  <c r="C29" i="28"/>
  <c r="D30" i="42" s="1"/>
  <c r="C28" i="28"/>
  <c r="D29" i="42" s="1"/>
  <c r="C24" i="28"/>
  <c r="C23" i="28"/>
  <c r="D24" i="42" s="1"/>
  <c r="C22" i="28"/>
  <c r="C23" i="42" s="1"/>
  <c r="C19" i="28"/>
  <c r="C20" i="42" s="1"/>
  <c r="C18" i="28"/>
  <c r="D19" i="42" s="1"/>
  <c r="C17" i="28"/>
  <c r="C18" i="42" s="1"/>
  <c r="C16" i="28"/>
  <c r="C15" i="28"/>
  <c r="D16" i="42" s="1"/>
  <c r="C14" i="28"/>
  <c r="D15" i="42" s="1"/>
  <c r="C10" i="28"/>
  <c r="E16" i="58" s="1"/>
  <c r="C11" i="28"/>
  <c r="C12" i="42" s="1"/>
  <c r="L16" i="58" s="1"/>
  <c r="C9" i="28"/>
  <c r="D16" i="58" s="1"/>
  <c r="C35" i="27"/>
  <c r="D36" i="41" s="1"/>
  <c r="C34" i="27"/>
  <c r="D35" i="41" s="1"/>
  <c r="C33" i="27"/>
  <c r="C29" i="27"/>
  <c r="D30" i="41" s="1"/>
  <c r="C28" i="27"/>
  <c r="C24" i="27"/>
  <c r="C25" i="41" s="1"/>
  <c r="C23" i="27"/>
  <c r="D24" i="41" s="1"/>
  <c r="C22" i="27"/>
  <c r="C23" i="41" s="1"/>
  <c r="C18" i="27"/>
  <c r="C19" i="41" s="1"/>
  <c r="C17" i="27"/>
  <c r="C18" i="41" s="1"/>
  <c r="C16" i="27"/>
  <c r="D17" i="41" s="1"/>
  <c r="C15" i="27"/>
  <c r="C16" i="41" s="1"/>
  <c r="C14" i="27"/>
  <c r="D15" i="41" s="1"/>
  <c r="C10" i="27"/>
  <c r="C11" i="41" s="1"/>
  <c r="K14" i="58" s="1"/>
  <c r="C11" i="27"/>
  <c r="D12" i="41" s="1"/>
  <c r="C9" i="27"/>
  <c r="D14" i="58" s="1"/>
  <c r="D41" i="57"/>
  <c r="C36" i="13" s="1"/>
  <c r="C37" i="40" s="1"/>
  <c r="E41" i="57"/>
  <c r="C36" i="27" s="1"/>
  <c r="F41" i="57"/>
  <c r="C36" i="28" s="1"/>
  <c r="C37" i="42" s="1"/>
  <c r="G41" i="57"/>
  <c r="C36" i="33" s="1"/>
  <c r="H41" i="57"/>
  <c r="C36" i="29" s="1"/>
  <c r="C41" i="57"/>
  <c r="C36" i="32" s="1"/>
  <c r="C37" i="39" s="1"/>
  <c r="D35" i="57"/>
  <c r="C30" i="13" s="1"/>
  <c r="C31" i="40" s="1"/>
  <c r="E35" i="57"/>
  <c r="C30" i="27" s="1"/>
  <c r="C31" i="41" s="1"/>
  <c r="F35" i="57"/>
  <c r="C30" i="28" s="1"/>
  <c r="C31" i="42" s="1"/>
  <c r="G35" i="57"/>
  <c r="C30" i="33" s="1"/>
  <c r="C31" i="46" s="1"/>
  <c r="H35" i="57"/>
  <c r="C30" i="29" s="1"/>
  <c r="C31" i="43" s="1"/>
  <c r="C35" i="57"/>
  <c r="D30" i="57"/>
  <c r="C25" i="13" s="1"/>
  <c r="C26" i="40" s="1"/>
  <c r="E30" i="57"/>
  <c r="C25" i="27" s="1"/>
  <c r="C26" i="41" s="1"/>
  <c r="F30" i="57"/>
  <c r="C25" i="28" s="1"/>
  <c r="C26" i="42" s="1"/>
  <c r="G30" i="57"/>
  <c r="C25" i="33" s="1"/>
  <c r="C26" i="46" s="1"/>
  <c r="H30" i="57"/>
  <c r="C25" i="29" s="1"/>
  <c r="C26" i="43" s="1"/>
  <c r="C30" i="57"/>
  <c r="C25" i="32" s="1"/>
  <c r="C26" i="39" s="1"/>
  <c r="H24" i="57"/>
  <c r="C19" i="29" s="1"/>
  <c r="D24" i="57"/>
  <c r="E24" i="57"/>
  <c r="C19" i="27" s="1"/>
  <c r="C20" i="41" s="1"/>
  <c r="F24" i="57"/>
  <c r="G24" i="57"/>
  <c r="C19" i="33" s="1"/>
  <c r="C20" i="46" s="1"/>
  <c r="C35" i="13"/>
  <c r="C36" i="40" s="1"/>
  <c r="C34" i="13"/>
  <c r="D35" i="40" s="1"/>
  <c r="C33" i="13"/>
  <c r="C29" i="13"/>
  <c r="D30" i="40" s="1"/>
  <c r="C28" i="13"/>
  <c r="C29" i="40" s="1"/>
  <c r="C24" i="13"/>
  <c r="C23" i="13"/>
  <c r="C24" i="40" s="1"/>
  <c r="C22" i="13"/>
  <c r="C23" i="40" s="1"/>
  <c r="C19" i="13"/>
  <c r="C20" i="40" s="1"/>
  <c r="C18" i="13"/>
  <c r="D19" i="40" s="1"/>
  <c r="C17" i="13"/>
  <c r="D18" i="40" s="1"/>
  <c r="C16" i="13"/>
  <c r="C17" i="40" s="1"/>
  <c r="C15" i="13"/>
  <c r="D16" i="40" s="1"/>
  <c r="C14" i="13"/>
  <c r="D15" i="40" s="1"/>
  <c r="C10" i="13"/>
  <c r="D11" i="40" s="1"/>
  <c r="C11" i="13"/>
  <c r="F12" i="58" s="1"/>
  <c r="C9" i="13"/>
  <c r="D10" i="40" s="1"/>
  <c r="C18" i="32"/>
  <c r="C19" i="39" s="1"/>
  <c r="C17" i="32"/>
  <c r="C18" i="39" s="1"/>
  <c r="C16" i="32"/>
  <c r="C17" i="39" s="1"/>
  <c r="C15" i="32"/>
  <c r="C14" i="32"/>
  <c r="C15" i="39" s="1"/>
  <c r="C9" i="32"/>
  <c r="D10" i="58" s="1"/>
  <c r="C24" i="57"/>
  <c r="C19" i="32" s="1"/>
  <c r="C35" i="32"/>
  <c r="C36" i="39" s="1"/>
  <c r="C34" i="32"/>
  <c r="C35" i="39" s="1"/>
  <c r="C33" i="32"/>
  <c r="C30" i="32"/>
  <c r="C31" i="39" s="1"/>
  <c r="C29" i="32"/>
  <c r="C28" i="32"/>
  <c r="D29" i="39" s="1"/>
  <c r="C24" i="32"/>
  <c r="D25" i="39" s="1"/>
  <c r="C23" i="32"/>
  <c r="C22" i="32"/>
  <c r="D23" i="39" s="1"/>
  <c r="D19" i="39"/>
  <c r="C11" i="32"/>
  <c r="F10" i="58" s="1"/>
  <c r="C11" i="39"/>
  <c r="K10" i="58" s="1"/>
  <c r="D16" i="39"/>
  <c r="C110" i="57"/>
  <c r="C18" i="52" s="1"/>
  <c r="D13" i="52"/>
  <c r="G6" i="57"/>
  <c r="G7" i="57"/>
  <c r="G8" i="57"/>
  <c r="G9" i="57"/>
  <c r="G10" i="57"/>
  <c r="G5" i="57"/>
  <c r="B21" i="3"/>
  <c r="F21" i="3" s="1"/>
  <c r="E20" i="43"/>
  <c r="D28" i="50"/>
  <c r="D17" i="50"/>
  <c r="D16" i="50"/>
  <c r="D33" i="48"/>
  <c r="D21" i="48"/>
  <c r="D10" i="48"/>
  <c r="D27" i="47"/>
  <c r="D22" i="45"/>
  <c r="D12" i="45"/>
  <c r="D27" i="44"/>
  <c r="D25" i="43"/>
  <c r="D11" i="43"/>
  <c r="D25" i="46"/>
  <c r="D25" i="42"/>
  <c r="D17" i="42"/>
  <c r="D34" i="41"/>
  <c r="D16" i="41"/>
  <c r="C9" i="39"/>
  <c r="D15" i="39"/>
  <c r="B41" i="42"/>
  <c r="B10" i="51"/>
  <c r="B11" i="51"/>
  <c r="B12" i="51"/>
  <c r="B14" i="51"/>
  <c r="C14" i="51"/>
  <c r="B15" i="51"/>
  <c r="B16" i="51"/>
  <c r="B17" i="51"/>
  <c r="B18" i="51"/>
  <c r="B20" i="51"/>
  <c r="B21" i="51"/>
  <c r="C21" i="51"/>
  <c r="B22" i="51"/>
  <c r="B23" i="51"/>
  <c r="B24" i="51"/>
  <c r="B26" i="51"/>
  <c r="B27" i="51"/>
  <c r="B28" i="51"/>
  <c r="B29" i="51"/>
  <c r="B31" i="51"/>
  <c r="B32" i="51"/>
  <c r="B33" i="51"/>
  <c r="B34" i="51"/>
  <c r="B36" i="51"/>
  <c r="B37" i="51"/>
  <c r="B38" i="51"/>
  <c r="C9" i="51"/>
  <c r="B38" i="50"/>
  <c r="B10" i="50"/>
  <c r="B11" i="50"/>
  <c r="B12" i="50"/>
  <c r="B14" i="50"/>
  <c r="C14" i="50"/>
  <c r="B15" i="50"/>
  <c r="B16" i="50"/>
  <c r="C16" i="50"/>
  <c r="B17" i="50"/>
  <c r="C17" i="50"/>
  <c r="B18" i="50"/>
  <c r="B20" i="50"/>
  <c r="B21" i="50"/>
  <c r="B22" i="50"/>
  <c r="B23" i="50"/>
  <c r="B24" i="50"/>
  <c r="B26" i="50"/>
  <c r="B27" i="50"/>
  <c r="B28" i="50"/>
  <c r="B29" i="50"/>
  <c r="C29" i="50"/>
  <c r="B31" i="50"/>
  <c r="B32" i="50"/>
  <c r="B33" i="50"/>
  <c r="B34" i="50"/>
  <c r="B36" i="50"/>
  <c r="B37" i="50"/>
  <c r="C9" i="50"/>
  <c r="B10" i="49"/>
  <c r="B11" i="49"/>
  <c r="B12" i="49"/>
  <c r="B14" i="49"/>
  <c r="C14" i="49"/>
  <c r="B15" i="49"/>
  <c r="B16" i="49"/>
  <c r="B17" i="49"/>
  <c r="B18" i="49"/>
  <c r="B20" i="49"/>
  <c r="B21" i="49"/>
  <c r="B22" i="49"/>
  <c r="B23" i="49"/>
  <c r="B24" i="49"/>
  <c r="B26" i="49"/>
  <c r="B27" i="49"/>
  <c r="B28" i="49"/>
  <c r="B29" i="49"/>
  <c r="B31" i="49"/>
  <c r="B32" i="49"/>
  <c r="B33" i="49"/>
  <c r="B34" i="49"/>
  <c r="C34" i="49"/>
  <c r="B36" i="49"/>
  <c r="B37" i="49"/>
  <c r="B38" i="49"/>
  <c r="C9" i="49"/>
  <c r="B10" i="48"/>
  <c r="C10" i="48"/>
  <c r="J34" i="58" s="1"/>
  <c r="B11" i="48"/>
  <c r="B12" i="48"/>
  <c r="B14" i="48"/>
  <c r="C14" i="48"/>
  <c r="B15" i="48"/>
  <c r="B16" i="48"/>
  <c r="B17" i="48"/>
  <c r="B18" i="48"/>
  <c r="B20" i="48"/>
  <c r="B21" i="48"/>
  <c r="C21" i="48"/>
  <c r="B22" i="48"/>
  <c r="B23" i="48"/>
  <c r="B24" i="48"/>
  <c r="C24" i="48"/>
  <c r="B26" i="48"/>
  <c r="B27" i="48"/>
  <c r="B28" i="48"/>
  <c r="B29" i="48"/>
  <c r="B31" i="48"/>
  <c r="B32" i="48"/>
  <c r="B33" i="48"/>
  <c r="C33" i="48"/>
  <c r="B34" i="48"/>
  <c r="B36" i="48"/>
  <c r="B37" i="48"/>
  <c r="B38" i="48"/>
  <c r="C9" i="48"/>
  <c r="B10" i="47"/>
  <c r="C10" i="47"/>
  <c r="J26" i="58" s="1"/>
  <c r="B11" i="47"/>
  <c r="B12" i="47"/>
  <c r="C12" i="47"/>
  <c r="L26" i="58" s="1"/>
  <c r="B14" i="47"/>
  <c r="C14" i="47"/>
  <c r="B15" i="47"/>
  <c r="C15" i="47"/>
  <c r="B16" i="47"/>
  <c r="B17" i="47"/>
  <c r="B18" i="47"/>
  <c r="B20" i="47"/>
  <c r="B21" i="47"/>
  <c r="B22" i="47"/>
  <c r="C22" i="47"/>
  <c r="B23" i="47"/>
  <c r="B24" i="47"/>
  <c r="B26" i="47"/>
  <c r="B27" i="47"/>
  <c r="B28" i="47"/>
  <c r="B29" i="47"/>
  <c r="B31" i="47"/>
  <c r="B32" i="47"/>
  <c r="B33" i="47"/>
  <c r="B34" i="47"/>
  <c r="C34" i="47"/>
  <c r="B36" i="47"/>
  <c r="B37" i="47"/>
  <c r="B38" i="47"/>
  <c r="C9" i="47"/>
  <c r="D19" i="29"/>
  <c r="B10" i="45"/>
  <c r="B11" i="45"/>
  <c r="C11" i="45"/>
  <c r="K24" i="58" s="1"/>
  <c r="B12" i="45"/>
  <c r="B14" i="45"/>
  <c r="C14" i="45"/>
  <c r="B15" i="45"/>
  <c r="B16" i="45"/>
  <c r="B17" i="45"/>
  <c r="B18" i="45"/>
  <c r="B20" i="45"/>
  <c r="B21" i="45"/>
  <c r="B22" i="45"/>
  <c r="B23" i="45"/>
  <c r="C23" i="45"/>
  <c r="B24" i="45"/>
  <c r="B26" i="45"/>
  <c r="B27" i="45"/>
  <c r="B28" i="45"/>
  <c r="B29" i="45"/>
  <c r="B31" i="45"/>
  <c r="B32" i="45"/>
  <c r="B33" i="45"/>
  <c r="B34" i="45"/>
  <c r="C34" i="45"/>
  <c r="B36" i="45"/>
  <c r="B37" i="45"/>
  <c r="B38" i="45"/>
  <c r="C9" i="45"/>
  <c r="C9" i="44"/>
  <c r="C11" i="44"/>
  <c r="K22" i="58" s="1"/>
  <c r="C14" i="44"/>
  <c r="C17" i="44"/>
  <c r="C24" i="44"/>
  <c r="B10" i="44"/>
  <c r="B11" i="44"/>
  <c r="B12" i="44"/>
  <c r="B14" i="44"/>
  <c r="B15" i="44"/>
  <c r="B16" i="44"/>
  <c r="B17" i="44"/>
  <c r="B18" i="44"/>
  <c r="B20" i="44"/>
  <c r="B21" i="44"/>
  <c r="B22" i="44"/>
  <c r="B23" i="44"/>
  <c r="B24" i="44"/>
  <c r="B26" i="44"/>
  <c r="B27" i="44"/>
  <c r="B28" i="44"/>
  <c r="B29" i="44"/>
  <c r="B31" i="44"/>
  <c r="B32" i="44"/>
  <c r="B33" i="44"/>
  <c r="B34" i="44"/>
  <c r="B36" i="44"/>
  <c r="B37" i="44"/>
  <c r="B38" i="44"/>
  <c r="C9" i="43"/>
  <c r="C11" i="43"/>
  <c r="K20" i="58" s="1"/>
  <c r="C14" i="43"/>
  <c r="C15" i="43"/>
  <c r="C25" i="43"/>
  <c r="C29" i="43"/>
  <c r="B10" i="43"/>
  <c r="B11" i="43"/>
  <c r="B12" i="43"/>
  <c r="B14" i="43"/>
  <c r="B15" i="43"/>
  <c r="B16" i="43"/>
  <c r="B17" i="43"/>
  <c r="B18" i="43"/>
  <c r="B19" i="43"/>
  <c r="B20" i="43"/>
  <c r="B22" i="43"/>
  <c r="B23" i="43"/>
  <c r="B24" i="43"/>
  <c r="B25" i="43"/>
  <c r="B26" i="43"/>
  <c r="B28" i="43"/>
  <c r="B29" i="43"/>
  <c r="B30" i="43"/>
  <c r="B31" i="43"/>
  <c r="B33" i="43"/>
  <c r="B34" i="43"/>
  <c r="B35" i="43"/>
  <c r="B36" i="43"/>
  <c r="B37" i="43"/>
  <c r="B39" i="43"/>
  <c r="B40" i="43"/>
  <c r="B41" i="43"/>
  <c r="C9" i="46"/>
  <c r="C12" i="46"/>
  <c r="L18" i="58" s="1"/>
  <c r="C14" i="46"/>
  <c r="C19" i="46"/>
  <c r="C25" i="46"/>
  <c r="C29" i="46"/>
  <c r="B40" i="46"/>
  <c r="B41" i="46"/>
  <c r="B10" i="46"/>
  <c r="B11" i="46"/>
  <c r="B12" i="46"/>
  <c r="B14" i="46"/>
  <c r="B15" i="46"/>
  <c r="B16" i="46"/>
  <c r="B17" i="46"/>
  <c r="B18" i="46"/>
  <c r="B19" i="46"/>
  <c r="B20" i="46"/>
  <c r="B22" i="46"/>
  <c r="B23" i="46"/>
  <c r="B24" i="46"/>
  <c r="B25" i="46"/>
  <c r="B26" i="46"/>
  <c r="B28" i="46"/>
  <c r="B29" i="46"/>
  <c r="B30" i="46"/>
  <c r="B31" i="46"/>
  <c r="B33" i="46"/>
  <c r="B34" i="46"/>
  <c r="B35" i="46"/>
  <c r="B36" i="46"/>
  <c r="B37" i="46"/>
  <c r="B39" i="46"/>
  <c r="C9" i="42"/>
  <c r="C14" i="42"/>
  <c r="C17" i="42"/>
  <c r="C25" i="42"/>
  <c r="C30" i="42"/>
  <c r="B10" i="42"/>
  <c r="B11" i="42"/>
  <c r="B12" i="42"/>
  <c r="B14" i="42"/>
  <c r="B15" i="42"/>
  <c r="B16" i="42"/>
  <c r="B17" i="42"/>
  <c r="B18" i="42"/>
  <c r="B19" i="42"/>
  <c r="B20" i="42"/>
  <c r="B22" i="42"/>
  <c r="B23" i="42"/>
  <c r="B24" i="42"/>
  <c r="B25" i="42"/>
  <c r="B26" i="42"/>
  <c r="B28" i="42"/>
  <c r="B29" i="42"/>
  <c r="B30" i="42"/>
  <c r="B31" i="42"/>
  <c r="B33" i="42"/>
  <c r="B34" i="42"/>
  <c r="B35" i="42"/>
  <c r="B36" i="42"/>
  <c r="B37" i="42"/>
  <c r="B39" i="42"/>
  <c r="B40" i="42"/>
  <c r="C9" i="41"/>
  <c r="C14" i="41"/>
  <c r="C30" i="41"/>
  <c r="C34" i="41"/>
  <c r="B10" i="41"/>
  <c r="B11" i="41"/>
  <c r="B12" i="41"/>
  <c r="B14" i="41"/>
  <c r="B15" i="41"/>
  <c r="B16" i="41"/>
  <c r="B17" i="41"/>
  <c r="B18" i="41"/>
  <c r="B19" i="41"/>
  <c r="B20" i="41"/>
  <c r="B22" i="41"/>
  <c r="B23" i="41"/>
  <c r="B24" i="41"/>
  <c r="B25" i="41"/>
  <c r="B26" i="41"/>
  <c r="B28" i="41"/>
  <c r="B29" i="41"/>
  <c r="B30" i="41"/>
  <c r="B31" i="41"/>
  <c r="B33" i="41"/>
  <c r="B34" i="41"/>
  <c r="B35" i="41"/>
  <c r="B36" i="41"/>
  <c r="B37" i="41"/>
  <c r="B39" i="41"/>
  <c r="B40" i="41"/>
  <c r="B41" i="41"/>
  <c r="C9" i="40"/>
  <c r="C14" i="40"/>
  <c r="C30" i="40"/>
  <c r="B10" i="40"/>
  <c r="B11" i="40"/>
  <c r="B12" i="40"/>
  <c r="B14" i="40"/>
  <c r="B15" i="40"/>
  <c r="B16" i="40"/>
  <c r="B17" i="40"/>
  <c r="B18" i="40"/>
  <c r="B19" i="40"/>
  <c r="B20" i="40"/>
  <c r="B22" i="40"/>
  <c r="B23" i="40"/>
  <c r="B24" i="40"/>
  <c r="B25" i="40"/>
  <c r="B26" i="40"/>
  <c r="B28" i="40"/>
  <c r="B29" i="40"/>
  <c r="B30" i="40"/>
  <c r="B31" i="40"/>
  <c r="B33" i="40"/>
  <c r="B34" i="40"/>
  <c r="B35" i="40"/>
  <c r="B36" i="40"/>
  <c r="B37" i="40"/>
  <c r="B39" i="40"/>
  <c r="B40" i="40"/>
  <c r="B41" i="40"/>
  <c r="C14" i="39"/>
  <c r="B10" i="39"/>
  <c r="B11" i="39"/>
  <c r="B12" i="39"/>
  <c r="B14" i="39"/>
  <c r="B15" i="39"/>
  <c r="B16" i="39"/>
  <c r="B17" i="39"/>
  <c r="B18" i="39"/>
  <c r="B19" i="39"/>
  <c r="B20" i="39"/>
  <c r="B22" i="39"/>
  <c r="B23" i="39"/>
  <c r="B24" i="39"/>
  <c r="B25" i="39"/>
  <c r="B26" i="39"/>
  <c r="B28" i="39"/>
  <c r="B29" i="39"/>
  <c r="B30" i="39"/>
  <c r="B31" i="39"/>
  <c r="B33" i="39"/>
  <c r="B34" i="39"/>
  <c r="B35" i="39"/>
  <c r="B36" i="39"/>
  <c r="B37" i="39"/>
  <c r="B39" i="39"/>
  <c r="B40" i="39"/>
  <c r="B41" i="39"/>
  <c r="I32" i="56"/>
  <c r="G32" i="56"/>
  <c r="F32" i="56"/>
  <c r="D32" i="56"/>
  <c r="A32" i="56" s="1"/>
  <c r="B32" i="56"/>
  <c r="I31" i="56"/>
  <c r="G31" i="56"/>
  <c r="F31" i="56"/>
  <c r="D31" i="56"/>
  <c r="A31" i="56" s="1"/>
  <c r="B31" i="56"/>
  <c r="I30" i="56"/>
  <c r="G30" i="56"/>
  <c r="F30" i="56"/>
  <c r="D30" i="56"/>
  <c r="B30" i="56"/>
  <c r="I29" i="56"/>
  <c r="G29" i="56"/>
  <c r="D29" i="56"/>
  <c r="D28" i="56"/>
  <c r="I27" i="56"/>
  <c r="G27" i="56"/>
  <c r="D27" i="56"/>
  <c r="A27" i="56" s="1"/>
  <c r="D26" i="56"/>
  <c r="A26" i="56" s="1"/>
  <c r="I25" i="56"/>
  <c r="D25" i="56"/>
  <c r="A25" i="56" s="1"/>
  <c r="D24" i="56"/>
  <c r="A24" i="56" s="1"/>
  <c r="I23" i="56"/>
  <c r="G23" i="56"/>
  <c r="D23" i="56"/>
  <c r="A23" i="56" s="1"/>
  <c r="B23" i="56"/>
  <c r="D24" i="55"/>
  <c r="A24" i="55" s="1"/>
  <c r="D25" i="55"/>
  <c r="D26" i="55"/>
  <c r="A26" i="55" s="1"/>
  <c r="D27" i="55"/>
  <c r="D28" i="55"/>
  <c r="A28" i="55" s="1"/>
  <c r="D29" i="55"/>
  <c r="F29" i="55"/>
  <c r="D30" i="55"/>
  <c r="A30" i="55" s="1"/>
  <c r="F30" i="55"/>
  <c r="G30" i="55"/>
  <c r="I30" i="55"/>
  <c r="D31" i="55"/>
  <c r="F31" i="55"/>
  <c r="G31" i="55"/>
  <c r="I31" i="55"/>
  <c r="D32" i="55"/>
  <c r="A32" i="55" s="1"/>
  <c r="F32" i="55"/>
  <c r="G32" i="55"/>
  <c r="I32" i="55"/>
  <c r="D23" i="55"/>
  <c r="A23" i="55" s="1"/>
  <c r="B30" i="55"/>
  <c r="B31" i="55"/>
  <c r="B32" i="55"/>
  <c r="I33" i="54"/>
  <c r="G33" i="54"/>
  <c r="F33" i="54"/>
  <c r="D33" i="54"/>
  <c r="A33" i="54" s="1"/>
  <c r="B33" i="54"/>
  <c r="I32" i="54"/>
  <c r="G32" i="54"/>
  <c r="F32" i="54"/>
  <c r="D32" i="54"/>
  <c r="B32" i="54"/>
  <c r="I31" i="54"/>
  <c r="G31" i="54"/>
  <c r="F31" i="54"/>
  <c r="D31" i="54"/>
  <c r="A31" i="54" s="1"/>
  <c r="B31" i="54"/>
  <c r="G30" i="54"/>
  <c r="D30" i="54"/>
  <c r="A30" i="54" s="1"/>
  <c r="B30" i="54"/>
  <c r="D29" i="54"/>
  <c r="A29" i="54" s="1"/>
  <c r="D28" i="54"/>
  <c r="I27" i="54"/>
  <c r="D27" i="54"/>
  <c r="A27" i="54" s="1"/>
  <c r="D26" i="54"/>
  <c r="D25" i="54"/>
  <c r="A25" i="54" s="1"/>
  <c r="D24" i="54"/>
  <c r="A24" i="54" s="1"/>
  <c r="D23" i="54"/>
  <c r="A23" i="54" s="1"/>
  <c r="B29" i="53"/>
  <c r="B30" i="53"/>
  <c r="B31" i="53"/>
  <c r="B32" i="53"/>
  <c r="B33" i="53"/>
  <c r="D32" i="53"/>
  <c r="F32" i="53"/>
  <c r="G32" i="53"/>
  <c r="I32" i="53"/>
  <c r="D33" i="53"/>
  <c r="A33" i="53" s="1"/>
  <c r="F33" i="53"/>
  <c r="G33" i="53"/>
  <c r="I33" i="53"/>
  <c r="D24" i="53"/>
  <c r="D25" i="53"/>
  <c r="A25" i="53" s="1"/>
  <c r="D26" i="53"/>
  <c r="D27" i="53"/>
  <c r="A27" i="53" s="1"/>
  <c r="D28" i="53"/>
  <c r="D29" i="53"/>
  <c r="A29" i="53" s="1"/>
  <c r="D30" i="53"/>
  <c r="A30" i="53" s="1"/>
  <c r="D31" i="53"/>
  <c r="A31" i="53" s="1"/>
  <c r="I24" i="53"/>
  <c r="F31" i="53"/>
  <c r="G31" i="53"/>
  <c r="I31" i="53"/>
  <c r="G23" i="53"/>
  <c r="D23" i="53"/>
  <c r="A23" i="53" s="1"/>
  <c r="F9" i="3"/>
  <c r="F10" i="3"/>
  <c r="C12" i="39" l="1"/>
  <c r="L10" i="58" s="1"/>
  <c r="D14" i="52"/>
  <c r="I44" i="58"/>
  <c r="J44" i="58" s="1"/>
  <c r="C44" i="58"/>
  <c r="D44" i="58" s="1"/>
  <c r="C30" i="58"/>
  <c r="I30" i="58"/>
  <c r="J30" i="58" s="1"/>
  <c r="R5" i="5"/>
  <c r="D24" i="40"/>
  <c r="D30" i="27"/>
  <c r="D28" i="31"/>
  <c r="D29" i="45" s="1"/>
  <c r="C11" i="40"/>
  <c r="K12" i="58" s="1"/>
  <c r="D32" i="48"/>
  <c r="D10" i="49"/>
  <c r="D28" i="37"/>
  <c r="D29" i="50" s="1"/>
  <c r="D34" i="46"/>
  <c r="C19" i="43"/>
  <c r="D25" i="29"/>
  <c r="D26" i="43" s="1"/>
  <c r="C18" i="43"/>
  <c r="C22" i="44"/>
  <c r="C10" i="44"/>
  <c r="J22" i="58" s="1"/>
  <c r="C32" i="44"/>
  <c r="C17" i="45"/>
  <c r="C21" i="45"/>
  <c r="E24" i="45" s="1"/>
  <c r="C33" i="45"/>
  <c r="C12" i="45"/>
  <c r="L24" i="58" s="1"/>
  <c r="D10" i="45"/>
  <c r="D11" i="45"/>
  <c r="C28" i="47"/>
  <c r="E29" i="47" s="1"/>
  <c r="D28" i="34"/>
  <c r="D29" i="47" s="1"/>
  <c r="D12" i="47"/>
  <c r="D21" i="49"/>
  <c r="D17" i="37"/>
  <c r="D18" i="50" s="1"/>
  <c r="D10" i="51"/>
  <c r="C10" i="41"/>
  <c r="J14" i="58" s="1"/>
  <c r="D18" i="41"/>
  <c r="C36" i="41"/>
  <c r="D17" i="40"/>
  <c r="C35" i="40"/>
  <c r="C18" i="40"/>
  <c r="E12" i="58"/>
  <c r="F29" i="6"/>
  <c r="F7" i="59"/>
  <c r="F6" i="59"/>
  <c r="D12" i="51"/>
  <c r="C10" i="50"/>
  <c r="J38" i="58" s="1"/>
  <c r="D10" i="50"/>
  <c r="D12" i="50"/>
  <c r="D12" i="49"/>
  <c r="D28" i="36"/>
  <c r="D29" i="49" s="1"/>
  <c r="D11" i="49"/>
  <c r="C32" i="49"/>
  <c r="E34" i="49" s="1"/>
  <c r="C35" i="36"/>
  <c r="C36" i="49" s="1"/>
  <c r="C17" i="49"/>
  <c r="D33" i="35"/>
  <c r="D34" i="48" s="1"/>
  <c r="D17" i="34"/>
  <c r="D18" i="47" s="1"/>
  <c r="C33" i="47"/>
  <c r="D21" i="47"/>
  <c r="D33" i="31"/>
  <c r="D34" i="45" s="1"/>
  <c r="C10" i="45"/>
  <c r="J24" i="58" s="1"/>
  <c r="D23" i="44"/>
  <c r="C15" i="44"/>
  <c r="E18" i="44" s="1"/>
  <c r="E22" i="58"/>
  <c r="F22" i="58"/>
  <c r="D12" i="43"/>
  <c r="C24" i="43"/>
  <c r="E26" i="43" s="1"/>
  <c r="D24" i="43"/>
  <c r="C12" i="43"/>
  <c r="L20" i="58" s="1"/>
  <c r="D12" i="46"/>
  <c r="D35" i="46"/>
  <c r="D15" i="46"/>
  <c r="D30" i="28"/>
  <c r="D31" i="42" s="1"/>
  <c r="C16" i="42"/>
  <c r="C11" i="42"/>
  <c r="K16" i="58" s="1"/>
  <c r="C29" i="42"/>
  <c r="E31" i="42" s="1"/>
  <c r="C24" i="42"/>
  <c r="E26" i="42" s="1"/>
  <c r="D19" i="41"/>
  <c r="D23" i="41"/>
  <c r="C19" i="40"/>
  <c r="D30" i="13"/>
  <c r="D31" i="40" s="1"/>
  <c r="D23" i="40"/>
  <c r="D29" i="40"/>
  <c r="D12" i="39"/>
  <c r="C23" i="39"/>
  <c r="D36" i="5"/>
  <c r="D12" i="58"/>
  <c r="D30" i="29"/>
  <c r="D31" i="43" s="1"/>
  <c r="D18" i="42"/>
  <c r="D28" i="45"/>
  <c r="D30" i="32"/>
  <c r="D31" i="39" s="1"/>
  <c r="C10" i="40"/>
  <c r="J12" i="58" s="1"/>
  <c r="C12" i="49"/>
  <c r="L36" i="58" s="1"/>
  <c r="D18" i="46"/>
  <c r="C35" i="41"/>
  <c r="D25" i="27"/>
  <c r="D26" i="41" s="1"/>
  <c r="C24" i="41"/>
  <c r="E26" i="41" s="1"/>
  <c r="C17" i="46"/>
  <c r="C35" i="43"/>
  <c r="C16" i="43"/>
  <c r="C10" i="51"/>
  <c r="J40" i="58" s="1"/>
  <c r="D11" i="48"/>
  <c r="D21" i="50"/>
  <c r="D32" i="51"/>
  <c r="C35" i="30"/>
  <c r="C36" i="44" s="1"/>
  <c r="K24" i="5" s="1"/>
  <c r="D30" i="33"/>
  <c r="D31" i="46" s="1"/>
  <c r="C19" i="42"/>
  <c r="C17" i="43"/>
  <c r="D36" i="27"/>
  <c r="D37" i="41" s="1"/>
  <c r="C30" i="43"/>
  <c r="E31" i="43" s="1"/>
  <c r="C23" i="49"/>
  <c r="E24" i="49" s="1"/>
  <c r="C11" i="49"/>
  <c r="K36" i="58" s="1"/>
  <c r="C33" i="50"/>
  <c r="C12" i="50"/>
  <c r="L38" i="58" s="1"/>
  <c r="C32" i="51"/>
  <c r="E34" i="51" s="1"/>
  <c r="D36" i="40"/>
  <c r="D16" i="47"/>
  <c r="D22" i="49"/>
  <c r="D23" i="50"/>
  <c r="D33" i="51"/>
  <c r="E34" i="58"/>
  <c r="C16" i="45"/>
  <c r="D22" i="51"/>
  <c r="C25" i="39"/>
  <c r="C35" i="42"/>
  <c r="E37" i="42" s="1"/>
  <c r="D10" i="41"/>
  <c r="D36" i="33"/>
  <c r="D37" i="46" s="1"/>
  <c r="D36" i="28"/>
  <c r="D37" i="42" s="1"/>
  <c r="C30" i="46"/>
  <c r="E31" i="46" s="1"/>
  <c r="C10" i="49"/>
  <c r="J36" i="58" s="1"/>
  <c r="C11" i="50"/>
  <c r="K38" i="58" s="1"/>
  <c r="D17" i="31"/>
  <c r="D18" i="45" s="1"/>
  <c r="D11" i="39"/>
  <c r="D10" i="42"/>
  <c r="D36" i="42"/>
  <c r="D36" i="13"/>
  <c r="D37" i="40" s="1"/>
  <c r="D33" i="37"/>
  <c r="D34" i="50" s="1"/>
  <c r="C36" i="43"/>
  <c r="D18" i="58"/>
  <c r="D25" i="28"/>
  <c r="D26" i="42" s="1"/>
  <c r="C34" i="44"/>
  <c r="C32" i="45"/>
  <c r="E18" i="47"/>
  <c r="C15" i="50"/>
  <c r="E18" i="50" s="1"/>
  <c r="D33" i="34"/>
  <c r="D34" i="47" s="1"/>
  <c r="D17" i="47"/>
  <c r="D28" i="49"/>
  <c r="D25" i="32"/>
  <c r="D26" i="39" s="1"/>
  <c r="E18" i="58"/>
  <c r="E40" i="58"/>
  <c r="C29" i="6"/>
  <c r="C21" i="44"/>
  <c r="C16" i="40"/>
  <c r="C24" i="46"/>
  <c r="C11" i="46"/>
  <c r="K18" i="58" s="1"/>
  <c r="C33" i="44"/>
  <c r="E34" i="44" s="1"/>
  <c r="C32" i="47"/>
  <c r="C17" i="48"/>
  <c r="D23" i="30"/>
  <c r="D24" i="44" s="1"/>
  <c r="D11" i="42"/>
  <c r="D10" i="44"/>
  <c r="D15" i="49"/>
  <c r="D23" i="35"/>
  <c r="D24" i="48" s="1"/>
  <c r="F40" i="58"/>
  <c r="D11" i="51"/>
  <c r="C23" i="46"/>
  <c r="C10" i="46"/>
  <c r="J18" i="58" s="1"/>
  <c r="C16" i="49"/>
  <c r="C27" i="50"/>
  <c r="E29" i="50" s="1"/>
  <c r="D33" i="30"/>
  <c r="D34" i="44" s="1"/>
  <c r="C35" i="35"/>
  <c r="C36" i="48" s="1"/>
  <c r="D12" i="42"/>
  <c r="D36" i="46"/>
  <c r="D23" i="43"/>
  <c r="D23" i="51"/>
  <c r="D19" i="33"/>
  <c r="D20" i="46" s="1"/>
  <c r="C35" i="31"/>
  <c r="C36" i="45" s="1"/>
  <c r="E14" i="58"/>
  <c r="F16" i="58"/>
  <c r="D23" i="42"/>
  <c r="D27" i="49"/>
  <c r="D25" i="33"/>
  <c r="D26" i="46" s="1"/>
  <c r="C36" i="46"/>
  <c r="E37" i="46" s="1"/>
  <c r="C27" i="49"/>
  <c r="E29" i="49" s="1"/>
  <c r="D17" i="36"/>
  <c r="D18" i="49" s="1"/>
  <c r="D25" i="41"/>
  <c r="D32" i="45"/>
  <c r="D28" i="48"/>
  <c r="D11" i="50"/>
  <c r="C35" i="34"/>
  <c r="D28" i="5" s="1"/>
  <c r="F14" i="58"/>
  <c r="D35" i="39"/>
  <c r="C12" i="41"/>
  <c r="L14" i="58" s="1"/>
  <c r="D11" i="41"/>
  <c r="C14" i="52"/>
  <c r="C24" i="52" s="1"/>
  <c r="E10" i="58"/>
  <c r="E29" i="48"/>
  <c r="E31" i="40"/>
  <c r="E10" i="9"/>
  <c r="C38" i="29"/>
  <c r="C39" i="43" s="1"/>
  <c r="K22" i="5" s="1"/>
  <c r="C37" i="43"/>
  <c r="D31" i="41"/>
  <c r="C38" i="33"/>
  <c r="C39" i="46" s="1"/>
  <c r="K20" i="5" s="1"/>
  <c r="L20" i="5" s="1"/>
  <c r="C37" i="46"/>
  <c r="C38" i="27"/>
  <c r="C37" i="41"/>
  <c r="C35" i="38"/>
  <c r="C36" i="51" s="1"/>
  <c r="K40" i="5" s="1"/>
  <c r="D16" i="46"/>
  <c r="D16" i="44"/>
  <c r="D32" i="50"/>
  <c r="C29" i="41"/>
  <c r="E31" i="41" s="1"/>
  <c r="C17" i="41"/>
  <c r="C27" i="45"/>
  <c r="E29" i="45" s="1"/>
  <c r="C24" i="47"/>
  <c r="C12" i="48"/>
  <c r="L34" i="58" s="1"/>
  <c r="C32" i="50"/>
  <c r="D17" i="30"/>
  <c r="D18" i="44" s="1"/>
  <c r="D27" i="45"/>
  <c r="D23" i="36"/>
  <c r="D24" i="49" s="1"/>
  <c r="C16" i="46"/>
  <c r="C15" i="45"/>
  <c r="D33" i="36"/>
  <c r="D34" i="49" s="1"/>
  <c r="D10" i="39"/>
  <c r="D29" i="41"/>
  <c r="D34" i="42"/>
  <c r="D34" i="43"/>
  <c r="D12" i="48"/>
  <c r="C10" i="39"/>
  <c r="J10" i="58" s="1"/>
  <c r="D25" i="13"/>
  <c r="D26" i="40" s="1"/>
  <c r="C12" i="40"/>
  <c r="L12" i="58" s="1"/>
  <c r="C10" i="42"/>
  <c r="J16" i="58" s="1"/>
  <c r="C28" i="44"/>
  <c r="E29" i="44" s="1"/>
  <c r="C22" i="48"/>
  <c r="D28" i="30"/>
  <c r="D29" i="44" s="1"/>
  <c r="D12" i="40"/>
  <c r="D36" i="32"/>
  <c r="D37" i="39" s="1"/>
  <c r="D36" i="29"/>
  <c r="D37" i="43" s="1"/>
  <c r="C10" i="43"/>
  <c r="J20" i="58" s="1"/>
  <c r="D20" i="43"/>
  <c r="C11" i="47"/>
  <c r="K26" i="58" s="1"/>
  <c r="C17" i="51"/>
  <c r="D10" i="43"/>
  <c r="D11" i="47"/>
  <c r="D33" i="49"/>
  <c r="D25" i="25"/>
  <c r="E24" i="51"/>
  <c r="C27" i="51"/>
  <c r="E29" i="51" s="1"/>
  <c r="C16" i="51"/>
  <c r="D17" i="38"/>
  <c r="D18" i="51" s="1"/>
  <c r="D23" i="38"/>
  <c r="D24" i="51" s="1"/>
  <c r="C15" i="51"/>
  <c r="D28" i="38"/>
  <c r="D29" i="51" s="1"/>
  <c r="D28" i="51"/>
  <c r="C22" i="50"/>
  <c r="E24" i="50" s="1"/>
  <c r="C35" i="37"/>
  <c r="D23" i="37"/>
  <c r="D24" i="50" s="1"/>
  <c r="C16" i="48"/>
  <c r="E34" i="48"/>
  <c r="C15" i="48"/>
  <c r="D23" i="48"/>
  <c r="C23" i="48"/>
  <c r="D17" i="35"/>
  <c r="D18" i="48" s="1"/>
  <c r="D27" i="48"/>
  <c r="D28" i="35"/>
  <c r="D29" i="48" s="1"/>
  <c r="C23" i="47"/>
  <c r="E24" i="47" s="1"/>
  <c r="D23" i="34"/>
  <c r="D24" i="47" s="1"/>
  <c r="D10" i="47"/>
  <c r="D23" i="31"/>
  <c r="D24" i="45" s="1"/>
  <c r="C24" i="45"/>
  <c r="C12" i="44"/>
  <c r="L22" i="58" s="1"/>
  <c r="C15" i="42"/>
  <c r="D19" i="28"/>
  <c r="D20" i="42" s="1"/>
  <c r="D19" i="27"/>
  <c r="D20" i="41" s="1"/>
  <c r="C15" i="41"/>
  <c r="D34" i="40"/>
  <c r="C34" i="40"/>
  <c r="C25" i="40"/>
  <c r="E26" i="40" s="1"/>
  <c r="D25" i="40"/>
  <c r="D19" i="13"/>
  <c r="C15" i="40"/>
  <c r="C38" i="32"/>
  <c r="C39" i="32" s="1"/>
  <c r="C40" i="39" s="1"/>
  <c r="C20" i="39"/>
  <c r="D36" i="39"/>
  <c r="C29" i="39"/>
  <c r="D34" i="39"/>
  <c r="D17" i="39"/>
  <c r="C30" i="39"/>
  <c r="D30" i="39"/>
  <c r="C16" i="39"/>
  <c r="E20" i="39" s="1"/>
  <c r="D18" i="39"/>
  <c r="C24" i="39"/>
  <c r="C34" i="39"/>
  <c r="E37" i="39" s="1"/>
  <c r="D24" i="39"/>
  <c r="D19" i="32"/>
  <c r="D20" i="39" s="1"/>
  <c r="C20" i="43"/>
  <c r="A28" i="56"/>
  <c r="A25" i="55"/>
  <c r="A24" i="53"/>
  <c r="C11" i="6"/>
  <c r="F11" i="6"/>
  <c r="F8" i="3"/>
  <c r="K26" i="5" l="1"/>
  <c r="E34" i="45"/>
  <c r="G16" i="9"/>
  <c r="D13" i="25"/>
  <c r="L44" i="58"/>
  <c r="F14" i="25" s="1"/>
  <c r="K44" i="58"/>
  <c r="L30" i="58"/>
  <c r="K30" i="58"/>
  <c r="C46" i="58"/>
  <c r="D30" i="58"/>
  <c r="F44" i="58"/>
  <c r="F13" i="25" s="1"/>
  <c r="E44" i="58"/>
  <c r="E13" i="25" s="1"/>
  <c r="D24" i="52"/>
  <c r="A26" i="53"/>
  <c r="E37" i="41"/>
  <c r="C39" i="33"/>
  <c r="C40" i="46" s="1"/>
  <c r="E34" i="50"/>
  <c r="E24" i="44"/>
  <c r="C37" i="38"/>
  <c r="C38" i="51" s="1"/>
  <c r="E37" i="40"/>
  <c r="E18" i="45"/>
  <c r="E36" i="45" s="1"/>
  <c r="E18" i="49"/>
  <c r="E36" i="49" s="1"/>
  <c r="E38" i="49" s="1"/>
  <c r="D9" i="25"/>
  <c r="E19" i="9"/>
  <c r="F8" i="59"/>
  <c r="C21" i="59" s="1"/>
  <c r="E37" i="43"/>
  <c r="E39" i="43" s="1"/>
  <c r="E41" i="43" s="1"/>
  <c r="E20" i="46"/>
  <c r="E26" i="46"/>
  <c r="E18" i="48"/>
  <c r="D34" i="5"/>
  <c r="E24" i="48"/>
  <c r="E34" i="47"/>
  <c r="E36" i="47" s="1"/>
  <c r="D20" i="5"/>
  <c r="E20" i="5" s="1"/>
  <c r="D38" i="33"/>
  <c r="D40" i="33" s="1"/>
  <c r="D41" i="46" s="1"/>
  <c r="C40" i="33"/>
  <c r="C41" i="46" s="1"/>
  <c r="E20" i="41"/>
  <c r="D38" i="27"/>
  <c r="D39" i="27" s="1"/>
  <c r="D40" i="41" s="1"/>
  <c r="D38" i="13"/>
  <c r="D39" i="40" s="1"/>
  <c r="E26" i="39"/>
  <c r="E20" i="40"/>
  <c r="E39" i="40" s="1"/>
  <c r="E40" i="40" s="1"/>
  <c r="E20" i="42"/>
  <c r="E39" i="42" s="1"/>
  <c r="E40" i="42" s="1"/>
  <c r="D40" i="5"/>
  <c r="D26" i="5"/>
  <c r="D22" i="5"/>
  <c r="E36" i="44"/>
  <c r="E37" i="44" s="1"/>
  <c r="E36" i="50"/>
  <c r="E38" i="50" s="1"/>
  <c r="D35" i="31"/>
  <c r="D37" i="31" s="1"/>
  <c r="D38" i="45" s="1"/>
  <c r="C36" i="47"/>
  <c r="K28" i="5" s="1"/>
  <c r="C36" i="34"/>
  <c r="C37" i="47" s="1"/>
  <c r="K36" i="5"/>
  <c r="I46" i="58"/>
  <c r="D35" i="30"/>
  <c r="D35" i="37"/>
  <c r="D36" i="50" s="1"/>
  <c r="D38" i="29"/>
  <c r="D39" i="43" s="1"/>
  <c r="D35" i="36"/>
  <c r="E18" i="51"/>
  <c r="E36" i="51" s="1"/>
  <c r="C26" i="52"/>
  <c r="E7" i="52" s="1"/>
  <c r="D35" i="38"/>
  <c r="C36" i="50"/>
  <c r="K38" i="5" s="1"/>
  <c r="D38" i="5"/>
  <c r="K34" i="5"/>
  <c r="D35" i="35"/>
  <c r="D35" i="34"/>
  <c r="D38" i="28"/>
  <c r="D20" i="40"/>
  <c r="E31" i="39"/>
  <c r="C40" i="32"/>
  <c r="C41" i="39" s="1"/>
  <c r="C39" i="39"/>
  <c r="K12" i="5" s="1"/>
  <c r="D38" i="32"/>
  <c r="D40" i="32" s="1"/>
  <c r="D41" i="39" s="1"/>
  <c r="I29" i="6"/>
  <c r="E17" i="9" s="1"/>
  <c r="F28" i="6"/>
  <c r="F30" i="6" s="1"/>
  <c r="D12" i="5"/>
  <c r="C36" i="38"/>
  <c r="C37" i="51" s="1"/>
  <c r="C37" i="37"/>
  <c r="C38" i="50" s="1"/>
  <c r="C36" i="37"/>
  <c r="C37" i="50" s="1"/>
  <c r="C37" i="35"/>
  <c r="C38" i="48" s="1"/>
  <c r="C36" i="35"/>
  <c r="C37" i="48" s="1"/>
  <c r="C37" i="34"/>
  <c r="C38" i="47" s="1"/>
  <c r="A29" i="56"/>
  <c r="A27" i="55"/>
  <c r="A29" i="55" s="1"/>
  <c r="A31" i="55" s="1"/>
  <c r="B49" i="25" s="1"/>
  <c r="A26" i="54"/>
  <c r="A28" i="54" s="1"/>
  <c r="A28" i="53"/>
  <c r="C28" i="6"/>
  <c r="C30" i="6" s="1"/>
  <c r="F30" i="58" l="1"/>
  <c r="F8" i="25" s="1"/>
  <c r="F24" i="25" s="1"/>
  <c r="E30" i="58"/>
  <c r="E8" i="25" s="1"/>
  <c r="E24" i="25" s="1"/>
  <c r="F18" i="59"/>
  <c r="B29" i="52"/>
  <c r="C18" i="59"/>
  <c r="B18" i="59"/>
  <c r="C26" i="59"/>
  <c r="E39" i="41"/>
  <c r="E41" i="41" s="1"/>
  <c r="D39" i="46"/>
  <c r="D39" i="41"/>
  <c r="F9" i="25"/>
  <c r="E9" i="25"/>
  <c r="E37" i="50"/>
  <c r="E36" i="48"/>
  <c r="E37" i="48" s="1"/>
  <c r="E39" i="46"/>
  <c r="E40" i="46" s="1"/>
  <c r="E37" i="49"/>
  <c r="E38" i="47"/>
  <c r="E37" i="47"/>
  <c r="E40" i="43"/>
  <c r="D39" i="33"/>
  <c r="D40" i="46" s="1"/>
  <c r="D40" i="27"/>
  <c r="D41" i="41" s="1"/>
  <c r="D39" i="13"/>
  <c r="D40" i="40" s="1"/>
  <c r="D40" i="13"/>
  <c r="D41" i="40" s="1"/>
  <c r="D39" i="29"/>
  <c r="D40" i="43" s="1"/>
  <c r="E38" i="44"/>
  <c r="D40" i="29"/>
  <c r="D41" i="43" s="1"/>
  <c r="D36" i="45"/>
  <c r="D36" i="31"/>
  <c r="D37" i="45" s="1"/>
  <c r="D36" i="37"/>
  <c r="D37" i="50" s="1"/>
  <c r="E41" i="40"/>
  <c r="E39" i="39"/>
  <c r="E40" i="39" s="1"/>
  <c r="C27" i="52"/>
  <c r="B27" i="52" s="1"/>
  <c r="D14" i="25"/>
  <c r="E14" i="25"/>
  <c r="D46" i="58"/>
  <c r="D8" i="25"/>
  <c r="D37" i="30"/>
  <c r="D38" i="44" s="1"/>
  <c r="D24" i="5"/>
  <c r="D36" i="30"/>
  <c r="D37" i="44" s="1"/>
  <c r="D36" i="44"/>
  <c r="E38" i="51"/>
  <c r="E37" i="51"/>
  <c r="J46" i="58"/>
  <c r="D36" i="49"/>
  <c r="D37" i="36"/>
  <c r="D38" i="49" s="1"/>
  <c r="D36" i="36"/>
  <c r="D37" i="49" s="1"/>
  <c r="D37" i="37"/>
  <c r="D38" i="50" s="1"/>
  <c r="E41" i="42"/>
  <c r="E38" i="45"/>
  <c r="E37" i="45"/>
  <c r="D36" i="51"/>
  <c r="D37" i="38"/>
  <c r="D38" i="51" s="1"/>
  <c r="D36" i="38"/>
  <c r="D37" i="51" s="1"/>
  <c r="D36" i="48"/>
  <c r="D37" i="35"/>
  <c r="D38" i="48" s="1"/>
  <c r="D36" i="35"/>
  <c r="D37" i="48" s="1"/>
  <c r="D36" i="47"/>
  <c r="D36" i="34"/>
  <c r="D37" i="47" s="1"/>
  <c r="D37" i="34"/>
  <c r="D38" i="47" s="1"/>
  <c r="D39" i="42"/>
  <c r="D39" i="28"/>
  <c r="D40" i="42" s="1"/>
  <c r="D40" i="28"/>
  <c r="D41" i="42" s="1"/>
  <c r="D39" i="39"/>
  <c r="D39" i="32"/>
  <c r="D40" i="39" s="1"/>
  <c r="C37" i="36"/>
  <c r="C38" i="49" s="1"/>
  <c r="C36" i="36"/>
  <c r="C37" i="49" s="1"/>
  <c r="A30" i="56"/>
  <c r="B51" i="25"/>
  <c r="B52" i="25"/>
  <c r="H52" i="25" s="1"/>
  <c r="B53" i="25"/>
  <c r="H53" i="25" s="1"/>
  <c r="B50" i="25"/>
  <c r="A32" i="54"/>
  <c r="B41" i="25" s="1"/>
  <c r="A32" i="53"/>
  <c r="G37" i="25" s="1"/>
  <c r="E38" i="5"/>
  <c r="L38" i="5"/>
  <c r="L36" i="5"/>
  <c r="E36" i="5"/>
  <c r="E34" i="25" l="1"/>
  <c r="E36" i="25"/>
  <c r="D36" i="25"/>
  <c r="F34" i="25"/>
  <c r="E35" i="25"/>
  <c r="G36" i="25"/>
  <c r="E37" i="25"/>
  <c r="F37" i="25"/>
  <c r="F36" i="25"/>
  <c r="G35" i="25"/>
  <c r="G34" i="25"/>
  <c r="F35" i="25"/>
  <c r="G33" i="25"/>
  <c r="E33" i="25"/>
  <c r="F33" i="25"/>
  <c r="D34" i="25"/>
  <c r="D33" i="25"/>
  <c r="D35" i="25"/>
  <c r="D37" i="25"/>
  <c r="F21" i="59"/>
  <c r="F26" i="59" s="1"/>
  <c r="C28" i="59"/>
  <c r="E40" i="41"/>
  <c r="E38" i="48"/>
  <c r="E41" i="46"/>
  <c r="E41" i="39"/>
  <c r="C19" i="9"/>
  <c r="D10" i="25"/>
  <c r="D15" i="25"/>
  <c r="E15" i="25"/>
  <c r="F15" i="25"/>
  <c r="E10" i="25"/>
  <c r="E46" i="58"/>
  <c r="F10" i="25"/>
  <c r="F46" i="58"/>
  <c r="K46" i="58"/>
  <c r="L46" i="58"/>
  <c r="T5" i="5"/>
  <c r="E11" i="9" s="1"/>
  <c r="B57" i="25"/>
  <c r="B59" i="25"/>
  <c r="B58" i="25"/>
  <c r="B60" i="25"/>
  <c r="H60" i="25" s="1"/>
  <c r="B61" i="25"/>
  <c r="H61" i="25" s="1"/>
  <c r="B33" i="25"/>
  <c r="H51" i="25"/>
  <c r="H49" i="25"/>
  <c r="H50" i="25"/>
  <c r="D54" i="25"/>
  <c r="H42" i="25"/>
  <c r="B45" i="25"/>
  <c r="B44" i="25"/>
  <c r="B43" i="25"/>
  <c r="H45" i="25"/>
  <c r="B42" i="25"/>
  <c r="B34" i="25"/>
  <c r="B35" i="25"/>
  <c r="B37" i="25"/>
  <c r="B36" i="25"/>
  <c r="C38" i="28"/>
  <c r="C38" i="13"/>
  <c r="E22" i="9" l="1"/>
  <c r="F31" i="59"/>
  <c r="C29" i="52" s="1"/>
  <c r="C31" i="52" s="1"/>
  <c r="D27" i="25"/>
  <c r="C39" i="42"/>
  <c r="K18" i="5" s="1"/>
  <c r="L18" i="5" s="1"/>
  <c r="D18" i="5"/>
  <c r="C39" i="41"/>
  <c r="K16" i="5" s="1"/>
  <c r="L16" i="5" s="1"/>
  <c r="D16" i="5"/>
  <c r="C39" i="40"/>
  <c r="K14" i="5" s="1"/>
  <c r="C39" i="13"/>
  <c r="C40" i="40" s="1"/>
  <c r="D14" i="5"/>
  <c r="L12" i="5"/>
  <c r="C36" i="31"/>
  <c r="C37" i="45" s="1"/>
  <c r="C37" i="31"/>
  <c r="C38" i="45" s="1"/>
  <c r="C37" i="30"/>
  <c r="C38" i="44" s="1"/>
  <c r="C36" i="30"/>
  <c r="C37" i="44" s="1"/>
  <c r="C40" i="29"/>
  <c r="C41" i="43" s="1"/>
  <c r="C39" i="29"/>
  <c r="C40" i="43" s="1"/>
  <c r="C40" i="28"/>
  <c r="C41" i="42" s="1"/>
  <c r="C39" i="28"/>
  <c r="C40" i="42" s="1"/>
  <c r="C40" i="27"/>
  <c r="C41" i="41" s="1"/>
  <c r="C39" i="27"/>
  <c r="C40" i="41" s="1"/>
  <c r="H54" i="25"/>
  <c r="D62" i="25"/>
  <c r="F62" i="25" s="1"/>
  <c r="H57" i="25"/>
  <c r="H58" i="25"/>
  <c r="H59" i="25"/>
  <c r="E54" i="25"/>
  <c r="F54" i="25"/>
  <c r="G54" i="25"/>
  <c r="D46" i="25"/>
  <c r="H41" i="25"/>
  <c r="H43" i="25"/>
  <c r="H44" i="25"/>
  <c r="D38" i="25"/>
  <c r="H35" i="25"/>
  <c r="H36" i="25"/>
  <c r="H37" i="25"/>
  <c r="H33" i="25"/>
  <c r="H34" i="25"/>
  <c r="C40" i="13"/>
  <c r="C41" i="40" s="1"/>
  <c r="E26" i="5"/>
  <c r="F11" i="3"/>
  <c r="F12" i="3"/>
  <c r="L26" i="5"/>
  <c r="L40" i="5"/>
  <c r="L34" i="5"/>
  <c r="L28" i="5"/>
  <c r="L24" i="5"/>
  <c r="L22" i="5"/>
  <c r="E28" i="5"/>
  <c r="E34" i="5"/>
  <c r="E40" i="5"/>
  <c r="F18" i="3" l="1"/>
  <c r="E27" i="25"/>
  <c r="B27" i="25"/>
  <c r="F27" i="25"/>
  <c r="D67" i="25"/>
  <c r="B29" i="25" s="1"/>
  <c r="H38" i="25"/>
  <c r="G62" i="25"/>
  <c r="E62" i="25"/>
  <c r="H62" i="25"/>
  <c r="E14" i="9" s="1"/>
  <c r="H46" i="25"/>
  <c r="E46" i="25"/>
  <c r="G46" i="25"/>
  <c r="F46" i="25"/>
  <c r="G38" i="25"/>
  <c r="F38" i="25"/>
  <c r="E38" i="25"/>
  <c r="I30" i="6"/>
  <c r="E24" i="5"/>
  <c r="E14" i="5"/>
  <c r="I28" i="6"/>
  <c r="E16" i="9" s="1"/>
  <c r="L14" i="5"/>
  <c r="L44" i="5" s="1"/>
  <c r="K44" i="5" s="1"/>
  <c r="E13" i="9" l="1"/>
  <c r="E67" i="25"/>
  <c r="D71" i="25" s="1"/>
  <c r="F71" i="25" s="1"/>
  <c r="F67" i="25"/>
  <c r="D73" i="25" s="1"/>
  <c r="F73" i="25" s="1"/>
  <c r="J73" i="25" s="1"/>
  <c r="H64" i="25"/>
  <c r="F64" i="25" s="1"/>
  <c r="E22" i="5"/>
  <c r="E18" i="5"/>
  <c r="E16" i="5"/>
  <c r="E12" i="5"/>
  <c r="C18" i="3"/>
  <c r="E8" i="9" s="1"/>
  <c r="G13" i="9" l="1"/>
  <c r="J71" i="25"/>
  <c r="F8" i="6"/>
  <c r="E44" i="5"/>
  <c r="D44" i="5" s="1"/>
  <c r="C13" i="9"/>
  <c r="C16" i="9"/>
  <c r="C46" i="5"/>
  <c r="C47" i="5" s="1"/>
  <c r="J46" i="5" s="1"/>
  <c r="G10" i="9" s="1"/>
  <c r="Q44" i="5" l="1"/>
  <c r="C10" i="9" s="1"/>
  <c r="F23" i="3"/>
  <c r="C8" i="9" l="1"/>
  <c r="C21" i="9" s="1"/>
  <c r="I28" i="5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Jari Swolfs</author>
  </authors>
  <commentList>
    <comment ref="E9" authorId="0" shapeId="0" xr:uid="{E938B156-32A7-4105-A28B-F8290545CB25}">
      <text>
        <r>
          <rPr>
            <sz val="9"/>
            <color indexed="81"/>
            <rFont val="Tahoma"/>
            <family val="2"/>
          </rPr>
          <t xml:space="preserve">Goed: 12.000
Normaal: 8.000
Matig: 6.000
</t>
        </r>
        <r>
          <rPr>
            <i/>
            <sz val="9"/>
            <color indexed="81"/>
            <rFont val="Tahoma"/>
            <family val="2"/>
          </rPr>
          <t>Blijvend grasland heeft gemiddeld 4,5% minder kg ds opbrengst dan vernieuwd grasland</t>
        </r>
      </text>
    </comment>
    <comment ref="E10" authorId="0" shapeId="0" xr:uid="{3E2B38DC-CE09-42FC-AD03-9C087A892B44}">
      <text>
        <r>
          <rPr>
            <sz val="9"/>
            <color indexed="81"/>
            <rFont val="Tahoma"/>
            <family val="2"/>
          </rPr>
          <t>Goed: 925
Normaal: 850
Matig: 800</t>
        </r>
      </text>
    </comment>
    <comment ref="E11" authorId="0" shapeId="0" xr:uid="{E194E5CC-6557-48CB-9C5E-73F1B23A78C0}">
      <text>
        <r>
          <rPr>
            <sz val="9"/>
            <color indexed="81"/>
            <rFont val="Tahoma"/>
            <family val="2"/>
          </rPr>
          <t>Goed: 92
Normaal: 72
Matig: 60</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koen smulders</author>
  </authors>
  <commentList>
    <comment ref="E9" authorId="0" shapeId="0" xr:uid="{8C621D75-D4F0-4E80-AD19-1687602B36EA}">
      <text>
        <r>
          <rPr>
            <sz val="9"/>
            <color indexed="81"/>
            <rFont val="Tahoma"/>
            <family val="2"/>
          </rPr>
          <t xml:space="preserve">Goed: 6.000
Normaal: 4.500
Matig: 3.800
</t>
        </r>
      </text>
    </comment>
    <comment ref="E10" authorId="0" shapeId="0" xr:uid="{80ED9632-D5B8-4536-AD77-6C2C9452D592}">
      <text>
        <r>
          <rPr>
            <sz val="9"/>
            <color indexed="81"/>
            <rFont val="Tahoma"/>
            <family val="2"/>
          </rPr>
          <t>Goed: 1200
Normaal: 1125
Matig: 1050</t>
        </r>
      </text>
    </comment>
    <comment ref="E11" authorId="0" shapeId="0" xr:uid="{A648ED32-F933-41AC-9D6A-BAEAA1AE2905}">
      <text>
        <r>
          <rPr>
            <sz val="9"/>
            <color indexed="81"/>
            <rFont val="Tahoma"/>
            <family val="2"/>
          </rPr>
          <t>Goed: 110
Normaal: 100
Matig: 90</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koen smulders</author>
  </authors>
  <commentList>
    <comment ref="E9" authorId="0" shapeId="0" xr:uid="{3DB76A89-A641-4500-8925-6D7B96A5B456}">
      <text>
        <r>
          <rPr>
            <sz val="9"/>
            <color indexed="81"/>
            <rFont val="Tahoma"/>
            <family val="2"/>
          </rPr>
          <t xml:space="preserve">Goed: 3.000
Normaal: 2.750
Matig: 2.500
</t>
        </r>
      </text>
    </comment>
    <comment ref="E10" authorId="0" shapeId="0" xr:uid="{67BDA256-E8CD-4C6C-A9FB-71A7C1208E83}">
      <text>
        <r>
          <rPr>
            <sz val="9"/>
            <color indexed="81"/>
            <rFont val="Tahoma"/>
            <family val="2"/>
          </rPr>
          <t xml:space="preserve">Goed: 1300
Normaal: 1160
Matig: 1000
</t>
        </r>
      </text>
    </comment>
    <comment ref="E11" authorId="0" shapeId="0" xr:uid="{865D26BA-4070-4E41-B027-89A4C224A180}">
      <text>
        <r>
          <rPr>
            <sz val="9"/>
            <color indexed="81"/>
            <rFont val="Tahoma"/>
            <family val="2"/>
          </rPr>
          <t>Goed: 250
Normaal: 220
Matig: 200</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koen smulders</author>
  </authors>
  <commentList>
    <comment ref="E9" authorId="0" shapeId="0" xr:uid="{66332CAB-FD14-4899-89B0-043D2DDF2216}">
      <text>
        <r>
          <rPr>
            <sz val="9"/>
            <color indexed="81"/>
            <rFont val="Tahoma"/>
            <family val="2"/>
          </rPr>
          <t>Goed: 12.000
Normaal: 11.000
Matig: 9.500</t>
        </r>
      </text>
    </comment>
    <comment ref="E10" authorId="0" shapeId="0" xr:uid="{319589E5-F5E9-4103-8A09-A48E8DB244C4}">
      <text>
        <r>
          <rPr>
            <sz val="9"/>
            <color indexed="81"/>
            <rFont val="Tahoma"/>
            <family val="2"/>
          </rPr>
          <t>Goed 1200
Normaal: 1100
Matig: 1000</t>
        </r>
      </text>
    </comment>
    <comment ref="E11" authorId="0" shapeId="0" xr:uid="{D7804365-4117-4ADD-90B9-642DBD180F1F}">
      <text>
        <r>
          <rPr>
            <sz val="9"/>
            <color indexed="81"/>
            <rFont val="Tahoma"/>
            <family val="2"/>
          </rPr>
          <t xml:space="preserve">Goed: 75
Normaal: 66
Matig: 57
</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koen smulders</author>
  </authors>
  <commentList>
    <comment ref="E9" authorId="0" shapeId="0" xr:uid="{930D35D0-D0F6-4D94-A5FE-566B217E90A3}">
      <text>
        <r>
          <rPr>
            <sz val="9"/>
            <color indexed="81"/>
            <rFont val="Tahoma"/>
            <family val="2"/>
          </rPr>
          <t xml:space="preserve">Goed: 9500
Normaal: 8800
Matig: 7500
</t>
        </r>
      </text>
    </comment>
    <comment ref="E10" authorId="0" shapeId="0" xr:uid="{0A65E9A4-B608-4AAE-B392-DC4292894576}">
      <text>
        <r>
          <rPr>
            <sz val="9"/>
            <color indexed="81"/>
            <rFont val="Tahoma"/>
            <family val="2"/>
          </rPr>
          <t>Goed: 1300
Normaal:1200
Matig: 1100</t>
        </r>
      </text>
    </comment>
    <comment ref="E11" authorId="0" shapeId="0" xr:uid="{9241F4AF-0197-478A-A2B6-1ED836AB1660}">
      <text>
        <r>
          <rPr>
            <sz val="9"/>
            <color indexed="81"/>
            <rFont val="Tahoma"/>
            <family val="2"/>
          </rPr>
          <t xml:space="preserve">Goed: 80
Normaal: 69
Matig: 58
</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Jari Swolfs</author>
  </authors>
  <commentList>
    <comment ref="F10" authorId="0" shapeId="0" xr:uid="{A10486DB-37A6-4F0D-8768-BB20583C236A}">
      <text>
        <r>
          <rPr>
            <sz val="9"/>
            <color indexed="81"/>
            <rFont val="Tahoma"/>
            <family val="2"/>
          </rPr>
          <t xml:space="preserve">Goed: 12.000
Normaal: 8.000
Matig: 6.000
</t>
        </r>
        <r>
          <rPr>
            <i/>
            <sz val="9"/>
            <color indexed="81"/>
            <rFont val="Tahoma"/>
            <family val="2"/>
          </rPr>
          <t>Blijvend grasland heeft gemiddeld 4,5% minder kg ds opbrengst dan vernieuwd grasland</t>
        </r>
      </text>
    </comment>
    <comment ref="F11" authorId="0" shapeId="0" xr:uid="{FEE965A2-7434-48D1-AE36-53B34CC27786}">
      <text>
        <r>
          <rPr>
            <sz val="9"/>
            <color indexed="81"/>
            <rFont val="Tahoma"/>
            <family val="2"/>
          </rPr>
          <t>Goed: 925
Normaal: 850
Matig: 800</t>
        </r>
      </text>
    </comment>
    <comment ref="F12" authorId="0" shapeId="0" xr:uid="{556C76BE-2350-43A1-AA2E-DE11B4433A64}">
      <text>
        <r>
          <rPr>
            <sz val="9"/>
            <color indexed="81"/>
            <rFont val="Tahoma"/>
            <family val="2"/>
          </rPr>
          <t>Goed: 92
Normaal: 72
Matig: 60</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Jari Swolfs</author>
  </authors>
  <commentList>
    <comment ref="F10" authorId="0" shapeId="0" xr:uid="{35FCF07A-83A4-488A-A5D0-FD480424E333}">
      <text>
        <r>
          <rPr>
            <sz val="9"/>
            <color indexed="81"/>
            <rFont val="Tahoma"/>
            <family val="2"/>
          </rPr>
          <t>Goed: 12.000
Normaal: 8.000
Matig: 6.000</t>
        </r>
        <r>
          <rPr>
            <b/>
            <sz val="9"/>
            <color indexed="81"/>
            <rFont val="Tahoma"/>
            <family val="2"/>
          </rPr>
          <t xml:space="preserve">
</t>
        </r>
        <r>
          <rPr>
            <i/>
            <sz val="9"/>
            <color indexed="81"/>
            <rFont val="Tahoma"/>
            <family val="2"/>
          </rPr>
          <t>Tijdelijk grasland heeft gemiddeld 4,5% meer kg ds opbrengst dan blijvend grasland</t>
        </r>
      </text>
    </comment>
    <comment ref="F11" authorId="0" shapeId="0" xr:uid="{125ADD8B-A956-4EBC-9989-03C46A7B242E}">
      <text>
        <r>
          <rPr>
            <sz val="9"/>
            <color indexed="81"/>
            <rFont val="Tahoma"/>
            <family val="2"/>
          </rPr>
          <t>Goed: 925
Normaal: 850
Matig: 800</t>
        </r>
      </text>
    </comment>
    <comment ref="F12" authorId="0" shapeId="0" xr:uid="{A47DA384-1728-4930-B229-FC9942BE87B9}">
      <text>
        <r>
          <rPr>
            <sz val="9"/>
            <color indexed="81"/>
            <rFont val="Tahoma"/>
            <family val="2"/>
          </rPr>
          <t>Goed: 92
Normaal: 72
Matig: 60</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Jari Swolfs</author>
  </authors>
  <commentList>
    <comment ref="F12" authorId="0" shapeId="0" xr:uid="{1C5D4BC8-2CA8-40BF-9108-152B2388DC4C}">
      <text>
        <r>
          <rPr>
            <sz val="9"/>
            <color indexed="81"/>
            <rFont val="Tahoma"/>
            <family val="2"/>
          </rPr>
          <t>Goed: 92
Normaal: 72
Matig: 60</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Jari Swolfs</author>
  </authors>
  <commentList>
    <comment ref="F10" authorId="0" shapeId="0" xr:uid="{5879BAE9-922E-4FAB-84F7-2F0268AB835D}">
      <text>
        <r>
          <rPr>
            <sz val="9"/>
            <color indexed="81"/>
            <rFont val="Tahoma"/>
            <family val="2"/>
          </rPr>
          <t>Extensief kruidenrijk grasland: 5.000 - 6.000
Producitef kruidenrijk grasland: 10.000+</t>
        </r>
      </text>
    </comment>
    <comment ref="F11" authorId="0" shapeId="0" xr:uid="{F8F20687-3955-4172-A053-EB57888D5207}">
      <text>
        <r>
          <rPr>
            <sz val="9"/>
            <color indexed="81"/>
            <rFont val="Tahoma"/>
            <family val="2"/>
          </rPr>
          <t>Goed: 915
Normaal: 905
Matig: 700</t>
        </r>
      </text>
    </comment>
    <comment ref="F12" authorId="0" shapeId="0" xr:uid="{2151B884-A1E6-49CB-B280-0D49DE1CB61F}">
      <text>
        <r>
          <rPr>
            <sz val="9"/>
            <color indexed="81"/>
            <rFont val="Tahoma"/>
            <family val="2"/>
          </rPr>
          <t>Goed: 70
Normaal: 60
Matig: 30</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Jari Swolfs</author>
  </authors>
  <commentList>
    <comment ref="F10" authorId="0" shapeId="0" xr:uid="{72A3ADC1-D369-482C-A891-00615DE1A9C0}">
      <text>
        <r>
          <rPr>
            <sz val="9"/>
            <color indexed="81"/>
            <rFont val="Tahoma"/>
            <family val="2"/>
          </rPr>
          <t>Goed: 11.500
Normaal: 10.500
Matig: 10.000</t>
        </r>
      </text>
    </comment>
    <comment ref="F11" authorId="0" shapeId="0" xr:uid="{68B15CED-3AC2-47F4-A566-B15FFE038F25}">
      <text>
        <r>
          <rPr>
            <sz val="9"/>
            <color indexed="81"/>
            <rFont val="Tahoma"/>
            <family val="2"/>
          </rPr>
          <t>Goed: 890
Normaal: 870
Matig: 810</t>
        </r>
      </text>
    </comment>
    <comment ref="F12" authorId="0" shapeId="0" xr:uid="{5077D481-1C1F-4793-80A2-3E93A178B874}">
      <text>
        <r>
          <rPr>
            <sz val="9"/>
            <color indexed="81"/>
            <rFont val="Tahoma"/>
            <family val="2"/>
          </rPr>
          <t>Goed: 55
Normaal: 48
Matig: 43</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Jari Swolfs</author>
  </authors>
  <commentList>
    <comment ref="F10" authorId="0" shapeId="0" xr:uid="{910D8D18-5B71-4DB9-9812-E6A6D43359ED}">
      <text>
        <r>
          <rPr>
            <sz val="9"/>
            <color indexed="81"/>
            <rFont val="Tahoma"/>
            <family val="2"/>
          </rPr>
          <t>Goed: 8.000
Normaal: 6.000
Matig: 4.000</t>
        </r>
      </text>
    </comment>
    <comment ref="F11" authorId="0" shapeId="0" xr:uid="{E551AE5C-D6D4-434F-8070-02FA75293F68}">
      <text>
        <r>
          <rPr>
            <sz val="9"/>
            <color indexed="81"/>
            <rFont val="Tahoma"/>
            <family val="2"/>
          </rPr>
          <t>Goed: 790
Normaal: 720
Matig: 650</t>
        </r>
      </text>
    </comment>
    <comment ref="F12" authorId="0" shapeId="0" xr:uid="{15A88CA2-A5FF-496B-8022-0765EE653F08}">
      <text>
        <r>
          <rPr>
            <sz val="9"/>
            <color indexed="81"/>
            <rFont val="Tahoma"/>
            <family val="2"/>
          </rPr>
          <t>Goed: 50
Normaal: 45
Matig: 35</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Jari Swolfs</author>
  </authors>
  <commentList>
    <comment ref="E9" authorId="0" shapeId="0" xr:uid="{B754C81A-95C8-4F70-938C-BB5EF9830A79}">
      <text>
        <r>
          <rPr>
            <sz val="9"/>
            <color indexed="81"/>
            <rFont val="Tahoma"/>
            <family val="2"/>
          </rPr>
          <t>Goed: 12.000
Normaal: 8.000
Matig: 6.000</t>
        </r>
        <r>
          <rPr>
            <b/>
            <sz val="9"/>
            <color indexed="81"/>
            <rFont val="Tahoma"/>
            <family val="2"/>
          </rPr>
          <t xml:space="preserve">
</t>
        </r>
        <r>
          <rPr>
            <i/>
            <sz val="9"/>
            <color indexed="81"/>
            <rFont val="Tahoma"/>
            <family val="2"/>
          </rPr>
          <t>Tijdelijk grasland heeft gemiddeld 4,5% meer kg ds opbrengst dan blijvend grasland</t>
        </r>
      </text>
    </comment>
    <comment ref="E10" authorId="0" shapeId="0" xr:uid="{6C817BDD-2F5B-4B90-8E83-B2889EE78DE1}">
      <text>
        <r>
          <rPr>
            <sz val="9"/>
            <color indexed="81"/>
            <rFont val="Tahoma"/>
            <family val="2"/>
          </rPr>
          <t>Goed: 925
Normaal: 850
Matig: 800</t>
        </r>
      </text>
    </comment>
    <comment ref="E11" authorId="0" shapeId="0" xr:uid="{BB3039B8-832B-4D7F-82E7-93CC1040E4E6}">
      <text>
        <r>
          <rPr>
            <sz val="9"/>
            <color indexed="81"/>
            <rFont val="Tahoma"/>
            <family val="2"/>
          </rPr>
          <t>Goed: 92
Normaal: 72
Matig: 60</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koen smulders</author>
  </authors>
  <commentList>
    <comment ref="F10" authorId="0" shapeId="0" xr:uid="{3F162D5D-C192-4CD3-B18C-87729007FACA}">
      <text>
        <r>
          <rPr>
            <sz val="9"/>
            <color indexed="81"/>
            <rFont val="Tahoma"/>
            <family val="2"/>
          </rPr>
          <t>Goed: 19.000
normaal: 16.500
Matig: 15.000</t>
        </r>
      </text>
    </comment>
    <comment ref="F11" authorId="0" shapeId="0" xr:uid="{12E55645-227A-46E8-A543-5DB676234362}">
      <text>
        <r>
          <rPr>
            <sz val="9"/>
            <color indexed="81"/>
            <rFont val="Tahoma"/>
            <family val="2"/>
          </rPr>
          <t xml:space="preserve">Goed: 1020
Normaal: 980
Matig: 940
</t>
        </r>
      </text>
    </comment>
    <comment ref="F12" authorId="0" shapeId="0" xr:uid="{CD4D7D78-8974-4FF3-AA3F-8F34B0E33AC8}">
      <text>
        <r>
          <rPr>
            <sz val="9"/>
            <color indexed="81"/>
            <rFont val="Tahoma"/>
            <family val="2"/>
          </rPr>
          <t xml:space="preserve">Goed: 60
Normaal: 52
Matig: 44
</t>
        </r>
      </text>
    </comment>
  </commentList>
</comments>
</file>

<file path=xl/comments21.xml><?xml version="1.0" encoding="utf-8"?>
<comments xmlns="http://schemas.openxmlformats.org/spreadsheetml/2006/main" xmlns:mc="http://schemas.openxmlformats.org/markup-compatibility/2006" xmlns:xr="http://schemas.microsoft.com/office/spreadsheetml/2014/revision" mc:Ignorable="xr">
  <authors>
    <author>koen smulders</author>
  </authors>
  <commentList>
    <comment ref="F10" authorId="0" shapeId="0" xr:uid="{94FED133-9D5E-442D-9CEF-52C1A7638931}">
      <text>
        <r>
          <rPr>
            <sz val="9"/>
            <color indexed="81"/>
            <rFont val="Tahoma"/>
            <family val="2"/>
          </rPr>
          <t>Goed: 20.000
Normaal: 17.000
Matig: 14.000</t>
        </r>
      </text>
    </comment>
    <comment ref="F11" authorId="0" shapeId="0" xr:uid="{91E1FBFB-A59B-4E15-A28F-B2A9B2BFD0C9}">
      <text>
        <r>
          <rPr>
            <sz val="9"/>
            <color indexed="81"/>
            <rFont val="Tahoma"/>
            <family val="2"/>
          </rPr>
          <t>Goed: 1150
Normaal: 1100
Matig: 1050</t>
        </r>
      </text>
    </comment>
    <comment ref="F12" authorId="0" shapeId="0" xr:uid="{C4BF78AC-C0D1-4B1C-9332-4E0F8CCE7A92}">
      <text>
        <r>
          <rPr>
            <sz val="9"/>
            <color indexed="81"/>
            <rFont val="Tahoma"/>
            <family val="2"/>
          </rPr>
          <t xml:space="preserve">Goed: 115
Normaal: 100
Matig: 85
</t>
        </r>
      </text>
    </comment>
  </commentList>
</comments>
</file>

<file path=xl/comments22.xml><?xml version="1.0" encoding="utf-8"?>
<comments xmlns="http://schemas.openxmlformats.org/spreadsheetml/2006/main" xmlns:mc="http://schemas.openxmlformats.org/markup-compatibility/2006" xmlns:xr="http://schemas.microsoft.com/office/spreadsheetml/2014/revision" mc:Ignorable="xr">
  <authors>
    <author>koen smulders</author>
  </authors>
  <commentList>
    <comment ref="F10" authorId="0" shapeId="0" xr:uid="{957C5DC2-13DF-4D9D-B429-BFEB387B0752}">
      <text>
        <r>
          <rPr>
            <sz val="9"/>
            <color indexed="81"/>
            <rFont val="Tahoma"/>
            <family val="2"/>
          </rPr>
          <t xml:space="preserve">goed: 13.900
Normaal: 11.500
matig: 9.000
</t>
        </r>
      </text>
    </comment>
    <comment ref="F11" authorId="0" shapeId="0" xr:uid="{18A41F99-C320-4C3B-BDC5-D11563FD12ED}">
      <text>
        <r>
          <rPr>
            <sz val="9"/>
            <color indexed="81"/>
            <rFont val="Tahoma"/>
            <family val="2"/>
          </rPr>
          <t>Goed: 950
Normaal: 870
Matig: 790</t>
        </r>
      </text>
    </comment>
    <comment ref="F12" authorId="0" shapeId="0" xr:uid="{331F812B-38F7-454C-88D7-2AD18C75513D}">
      <text>
        <r>
          <rPr>
            <sz val="9"/>
            <color indexed="81"/>
            <rFont val="Tahoma"/>
            <family val="2"/>
          </rPr>
          <t xml:space="preserve">Goed: 78
Normaal: 67
matig: 56
</t>
        </r>
      </text>
    </comment>
  </commentList>
</comments>
</file>

<file path=xl/comments23.xml><?xml version="1.0" encoding="utf-8"?>
<comments xmlns="http://schemas.openxmlformats.org/spreadsheetml/2006/main" xmlns:mc="http://schemas.openxmlformats.org/markup-compatibility/2006" xmlns:xr="http://schemas.microsoft.com/office/spreadsheetml/2014/revision" mc:Ignorable="xr">
  <authors>
    <author>koen smulders</author>
  </authors>
  <commentList>
    <comment ref="F10" authorId="0" shapeId="0" xr:uid="{5EFD1019-69EA-4444-A79B-FC694F2465E4}">
      <text>
        <r>
          <rPr>
            <sz val="9"/>
            <color indexed="81"/>
            <rFont val="Tahoma"/>
            <family val="2"/>
          </rPr>
          <t xml:space="preserve">Goed: 6.000
Normaal: 4.500
Matig: 3.800
</t>
        </r>
      </text>
    </comment>
    <comment ref="F11" authorId="0" shapeId="0" xr:uid="{06837FDE-D4E3-4F6A-B301-E60FC3112CA9}">
      <text>
        <r>
          <rPr>
            <sz val="9"/>
            <color indexed="81"/>
            <rFont val="Tahoma"/>
            <family val="2"/>
          </rPr>
          <t>Goed: 1200
Normaal: 1125
Matig: 1050</t>
        </r>
      </text>
    </comment>
    <comment ref="F12" authorId="0" shapeId="0" xr:uid="{1D51AD61-B37B-48A4-885D-4F9B117B7482}">
      <text>
        <r>
          <rPr>
            <sz val="9"/>
            <color indexed="81"/>
            <rFont val="Tahoma"/>
            <family val="2"/>
          </rPr>
          <t>Goed: 110
Normaal: 100
Matig: 90</t>
        </r>
      </text>
    </comment>
  </commentList>
</comments>
</file>

<file path=xl/comments24.xml><?xml version="1.0" encoding="utf-8"?>
<comments xmlns="http://schemas.openxmlformats.org/spreadsheetml/2006/main" xmlns:mc="http://schemas.openxmlformats.org/markup-compatibility/2006" xmlns:xr="http://schemas.microsoft.com/office/spreadsheetml/2014/revision" mc:Ignorable="xr">
  <authors>
    <author>koen smulders</author>
  </authors>
  <commentList>
    <comment ref="F10" authorId="0" shapeId="0" xr:uid="{D3895FA9-9A40-4129-8F50-F25B7B905D7E}">
      <text>
        <r>
          <rPr>
            <sz val="9"/>
            <color indexed="81"/>
            <rFont val="Tahoma"/>
            <family val="2"/>
          </rPr>
          <t xml:space="preserve">Goed: 3.000
Normaal: 2.750
Matig: 2.500
</t>
        </r>
      </text>
    </comment>
    <comment ref="F11" authorId="0" shapeId="0" xr:uid="{2580E43E-5EE9-4629-B13B-B6BD61B34DD9}">
      <text>
        <r>
          <rPr>
            <sz val="9"/>
            <color indexed="81"/>
            <rFont val="Tahoma"/>
            <family val="2"/>
          </rPr>
          <t xml:space="preserve">Goed: 1300
Normaal: 1160
Matig: 1000
</t>
        </r>
      </text>
    </comment>
    <comment ref="F12" authorId="0" shapeId="0" xr:uid="{8500B095-94B8-4FDE-9743-25786CBF8748}">
      <text>
        <r>
          <rPr>
            <sz val="9"/>
            <color indexed="81"/>
            <rFont val="Tahoma"/>
            <family val="2"/>
          </rPr>
          <t>Goed: 250
Normaal: 220
Matig: 200</t>
        </r>
      </text>
    </comment>
  </commentList>
</comments>
</file>

<file path=xl/comments25.xml><?xml version="1.0" encoding="utf-8"?>
<comments xmlns="http://schemas.openxmlformats.org/spreadsheetml/2006/main" xmlns:mc="http://schemas.openxmlformats.org/markup-compatibility/2006" xmlns:xr="http://schemas.microsoft.com/office/spreadsheetml/2014/revision" mc:Ignorable="xr">
  <authors>
    <author>koen smulders</author>
  </authors>
  <commentList>
    <comment ref="F10" authorId="0" shapeId="0" xr:uid="{467E50BC-07F5-4F13-85B1-033B2835E9D7}">
      <text>
        <r>
          <rPr>
            <sz val="9"/>
            <color indexed="81"/>
            <rFont val="Tahoma"/>
            <family val="2"/>
          </rPr>
          <t>Goed: 12.000
Normaal: 11.000
Matig: 9.500</t>
        </r>
      </text>
    </comment>
    <comment ref="F11" authorId="0" shapeId="0" xr:uid="{0238FF4B-8CB5-4BDC-B44C-1CFDFD289E85}">
      <text>
        <r>
          <rPr>
            <sz val="9"/>
            <color indexed="81"/>
            <rFont val="Tahoma"/>
            <family val="2"/>
          </rPr>
          <t>Goed 1200
Normaal: 1100
Matig: 1000</t>
        </r>
      </text>
    </comment>
    <comment ref="F12" authorId="0" shapeId="0" xr:uid="{DA154AE0-B9E7-4DF5-908A-E838B9984F96}">
      <text>
        <r>
          <rPr>
            <sz val="9"/>
            <color indexed="81"/>
            <rFont val="Tahoma"/>
            <family val="2"/>
          </rPr>
          <t xml:space="preserve">Goed: 75
Normaal: 66
Matig: 57
</t>
        </r>
      </text>
    </comment>
  </commentList>
</comments>
</file>

<file path=xl/comments26.xml><?xml version="1.0" encoding="utf-8"?>
<comments xmlns="http://schemas.openxmlformats.org/spreadsheetml/2006/main" xmlns:mc="http://schemas.openxmlformats.org/markup-compatibility/2006" xmlns:xr="http://schemas.microsoft.com/office/spreadsheetml/2014/revision" mc:Ignorable="xr">
  <authors>
    <author>koen smulders</author>
  </authors>
  <commentList>
    <comment ref="F10" authorId="0" shapeId="0" xr:uid="{06FD3337-6B85-484A-915B-F44258B68026}">
      <text>
        <r>
          <rPr>
            <sz val="9"/>
            <color indexed="81"/>
            <rFont val="Tahoma"/>
            <family val="2"/>
          </rPr>
          <t xml:space="preserve">Goed: 9500
Normaal: 8800
Matig: 7500
</t>
        </r>
      </text>
    </comment>
    <comment ref="F11" authorId="0" shapeId="0" xr:uid="{30573938-4C4A-492B-8D21-1B8D247A4AEB}">
      <text>
        <r>
          <rPr>
            <sz val="9"/>
            <color indexed="81"/>
            <rFont val="Tahoma"/>
            <family val="2"/>
          </rPr>
          <t>Goed: 1300
Normaal:1200
Matig: 1100</t>
        </r>
      </text>
    </comment>
    <comment ref="F12" authorId="0" shapeId="0" xr:uid="{D924F338-2C11-4FB0-8F3E-471C5CC5C2AA}">
      <text>
        <r>
          <rPr>
            <sz val="9"/>
            <color indexed="81"/>
            <rFont val="Tahoma"/>
            <family val="2"/>
          </rPr>
          <t xml:space="preserve">Goed: 80
Normaal: 69
Matig: 58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Jari Swolfs</author>
  </authors>
  <commentList>
    <comment ref="E9" authorId="0" shapeId="0" xr:uid="{AA2B3F33-5114-456A-9CE6-870B4C3100CB}">
      <text/>
    </comment>
    <comment ref="E11" authorId="0" shapeId="0" xr:uid="{0B010867-D58C-4F10-A146-2F7B161E9F28}">
      <text>
        <r>
          <rPr>
            <sz val="9"/>
            <color indexed="81"/>
            <rFont val="Tahoma"/>
            <family val="2"/>
          </rPr>
          <t>Goed: 92
Normaal: 72
Matig: 60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Jari Swolfs</author>
  </authors>
  <commentList>
    <comment ref="E9" authorId="0" shapeId="0" xr:uid="{A8076A94-4A0C-421A-9970-52980DCCB9D7}">
      <text>
        <r>
          <rPr>
            <sz val="9"/>
            <color indexed="81"/>
            <rFont val="Tahoma"/>
            <family val="2"/>
          </rPr>
          <t>Extensief kruidenrijk grasland: 5.000 - 6.000
Producitef kruidenrijk grasland: 10.000+</t>
        </r>
      </text>
    </comment>
    <comment ref="E10" authorId="0" shapeId="0" xr:uid="{2E183ED9-2094-49FE-9C73-A0B392AAAD46}">
      <text>
        <r>
          <rPr>
            <sz val="9"/>
            <color indexed="81"/>
            <rFont val="Tahoma"/>
            <family val="2"/>
          </rPr>
          <t>Goed: 915
Normaal: 905
Matig: 700</t>
        </r>
      </text>
    </comment>
    <comment ref="E11" authorId="0" shapeId="0" xr:uid="{FD21A39F-0FC2-4235-8C59-C0C89595E62A}">
      <text>
        <r>
          <rPr>
            <sz val="9"/>
            <color indexed="81"/>
            <rFont val="Tahoma"/>
            <family val="2"/>
          </rPr>
          <t>Goed: 70
Normaal: 60
Matig: 30</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Jari Swolfs</author>
  </authors>
  <commentList>
    <comment ref="E9" authorId="0" shapeId="0" xr:uid="{096006B1-C31F-4809-BB25-A3EDEFFE9239}">
      <text>
        <r>
          <rPr>
            <sz val="9"/>
            <color indexed="81"/>
            <rFont val="Tahoma"/>
            <family val="2"/>
          </rPr>
          <t>Goed: 11.500
Normaal: 10.500
Matig: 10.000</t>
        </r>
      </text>
    </comment>
    <comment ref="E10" authorId="0" shapeId="0" xr:uid="{FD464577-9B94-49DF-8FD9-07458A952AD9}">
      <text>
        <r>
          <rPr>
            <sz val="9"/>
            <color indexed="81"/>
            <rFont val="Tahoma"/>
            <family val="2"/>
          </rPr>
          <t>Goed: 890
Normaal: 870
Matig: 810</t>
        </r>
      </text>
    </comment>
    <comment ref="E11" authorId="0" shapeId="0" xr:uid="{3714690D-94A8-4B05-938C-FFC08C0952CE}">
      <text>
        <r>
          <rPr>
            <sz val="9"/>
            <color indexed="81"/>
            <rFont val="Tahoma"/>
            <family val="2"/>
          </rPr>
          <t>Goed: 55
Normaal: 48
Matig: 43</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Jari Swolfs</author>
  </authors>
  <commentList>
    <comment ref="E9" authorId="0" shapeId="0" xr:uid="{26FE5060-8F8F-4EE7-8EC4-66F1DE62DE61}">
      <text>
        <r>
          <rPr>
            <sz val="9"/>
            <color indexed="81"/>
            <rFont val="Tahoma"/>
            <family val="2"/>
          </rPr>
          <t>Goed: 8.000
Normaal: 6.000
Matig: 4.000</t>
        </r>
      </text>
    </comment>
    <comment ref="E10" authorId="0" shapeId="0" xr:uid="{06B4F23D-B4D8-44DD-9277-DF6960FAEFBD}">
      <text>
        <r>
          <rPr>
            <sz val="9"/>
            <color indexed="81"/>
            <rFont val="Tahoma"/>
            <family val="2"/>
          </rPr>
          <t>Goed: 790
Normaal: 720
Matig: 650</t>
        </r>
      </text>
    </comment>
    <comment ref="E11" authorId="0" shapeId="0" xr:uid="{04D58C8C-9FE5-4BBF-BFB1-68DCAA8E6491}">
      <text>
        <r>
          <rPr>
            <sz val="9"/>
            <color indexed="81"/>
            <rFont val="Tahoma"/>
            <family val="2"/>
          </rPr>
          <t>Goed: 50
Normaal: 45
Matig: 35</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koen smulders</author>
  </authors>
  <commentList>
    <comment ref="E9" authorId="0" shapeId="0" xr:uid="{20593112-DCB4-4C54-B67B-1EB750C3EDBF}">
      <text>
        <r>
          <rPr>
            <sz val="9"/>
            <color indexed="81"/>
            <rFont val="Tahoma"/>
            <family val="2"/>
          </rPr>
          <t>Goed: 19.000
normaal: 16.500
Matig: 15.000</t>
        </r>
      </text>
    </comment>
    <comment ref="E10" authorId="0" shapeId="0" xr:uid="{5FB7C029-ADA5-450F-B7DC-734B2B53AC9B}">
      <text>
        <r>
          <rPr>
            <sz val="9"/>
            <color indexed="81"/>
            <rFont val="Tahoma"/>
            <family val="2"/>
          </rPr>
          <t xml:space="preserve">Goed: 1020
Normaal: 980
Matig: 940
</t>
        </r>
      </text>
    </comment>
    <comment ref="E11" authorId="0" shapeId="0" xr:uid="{76C2BFC7-7748-40AA-A832-14F00B44ACEF}">
      <text>
        <r>
          <rPr>
            <sz val="9"/>
            <color indexed="81"/>
            <rFont val="Tahoma"/>
            <family val="2"/>
          </rPr>
          <t xml:space="preserve">Goed: 60
Normaal: 52
Matig: 44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koen smulders</author>
  </authors>
  <commentList>
    <comment ref="E9" authorId="0" shapeId="0" xr:uid="{EF5ED8B0-2E02-4B47-A8D7-9166A8480997}">
      <text>
        <r>
          <rPr>
            <sz val="9"/>
            <color indexed="81"/>
            <rFont val="Tahoma"/>
            <family val="2"/>
          </rPr>
          <t>Goed: 20.000
Normaal: 17.000
Matig: 14.000</t>
        </r>
      </text>
    </comment>
    <comment ref="E10" authorId="0" shapeId="0" xr:uid="{AED81D22-1BDA-4DD4-88C5-E5B2A597F49D}">
      <text>
        <r>
          <rPr>
            <sz val="9"/>
            <color indexed="81"/>
            <rFont val="Tahoma"/>
            <family val="2"/>
          </rPr>
          <t>Goed: 1150
Normaal: 1100
Matig: 1050</t>
        </r>
      </text>
    </comment>
    <comment ref="E11" authorId="0" shapeId="0" xr:uid="{33A48E23-51DC-424A-8BD5-0B5D030906A6}">
      <text>
        <r>
          <rPr>
            <sz val="9"/>
            <color indexed="81"/>
            <rFont val="Tahoma"/>
            <family val="2"/>
          </rPr>
          <t xml:space="preserve">Goed: 115
Normaal: 100
Matig: 85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koen smulders</author>
  </authors>
  <commentList>
    <comment ref="E9" authorId="0" shapeId="0" xr:uid="{B17D6EA7-0DA3-48F9-AE68-71F01A197324}">
      <text>
        <r>
          <rPr>
            <sz val="9"/>
            <color indexed="81"/>
            <rFont val="Tahoma"/>
            <family val="2"/>
          </rPr>
          <t xml:space="preserve">goed: 13.900
Normaal: 11.500
matig: 9.000
</t>
        </r>
      </text>
    </comment>
    <comment ref="E10" authorId="0" shapeId="0" xr:uid="{2B0247D1-E74F-4082-9441-B338E43D2455}">
      <text>
        <r>
          <rPr>
            <sz val="9"/>
            <color indexed="81"/>
            <rFont val="Tahoma"/>
            <family val="2"/>
          </rPr>
          <t>Goed: 950
Normaal: 870
Matig: 790</t>
        </r>
      </text>
    </comment>
    <comment ref="E11" authorId="0" shapeId="0" xr:uid="{B8E14206-7A55-407C-A4A5-BC4B8AD3BD79}">
      <text>
        <r>
          <rPr>
            <sz val="9"/>
            <color indexed="81"/>
            <rFont val="Tahoma"/>
            <family val="2"/>
          </rPr>
          <t xml:space="preserve">Goed: 78
Normaal: 67
matig: 56
</t>
        </r>
      </text>
    </comment>
  </commentList>
</comments>
</file>

<file path=xl/sharedStrings.xml><?xml version="1.0" encoding="utf-8"?>
<sst xmlns="http://schemas.openxmlformats.org/spreadsheetml/2006/main" count="1081" uniqueCount="248">
  <si>
    <t>Economisch resultaat</t>
  </si>
  <si>
    <t>Extra land</t>
  </si>
  <si>
    <t>Bouwplan</t>
  </si>
  <si>
    <t>Voer</t>
  </si>
  <si>
    <t>Melkopbrengsten</t>
  </si>
  <si>
    <t>Toegerekende kosten vee</t>
  </si>
  <si>
    <t>Aantal Ha</t>
  </si>
  <si>
    <t>Kosten per Ha</t>
  </si>
  <si>
    <t>Totaal</t>
  </si>
  <si>
    <t>Mestplaatsingsruimte?</t>
  </si>
  <si>
    <t>Pacht:</t>
  </si>
  <si>
    <t>Kies een optie</t>
  </si>
  <si>
    <t>Zand / Löss MET derogatie</t>
  </si>
  <si>
    <t>Klei ZONDER derogatie</t>
  </si>
  <si>
    <t>Veen ZONDER derogatie</t>
  </si>
  <si>
    <t>Koop:</t>
  </si>
  <si>
    <t>Zand / Löss ZONDER derogatie</t>
  </si>
  <si>
    <t xml:space="preserve"> Aantal Ha landbouwgrond met mestplaatsingsruimte extra</t>
  </si>
  <si>
    <t>Grondsoort</t>
  </si>
  <si>
    <t>Kosten mestafvoer per M3</t>
  </si>
  <si>
    <t>Verminderde mestafzet</t>
  </si>
  <si>
    <t xml:space="preserve">Kosten extra land: </t>
  </si>
  <si>
    <t>Huidig bouwplan</t>
  </si>
  <si>
    <t>Nieuw bouwplan</t>
  </si>
  <si>
    <t>Kostprijs per Ha</t>
  </si>
  <si>
    <t>Ruwvoer</t>
  </si>
  <si>
    <t>Gras (blijvend)</t>
  </si>
  <si>
    <t>Kostprijs bepalen</t>
  </si>
  <si>
    <t>Gras (tijdelijk)</t>
  </si>
  <si>
    <t>Grasklaver</t>
  </si>
  <si>
    <t>Kruidenrijk grasland</t>
  </si>
  <si>
    <t>Luzerne</t>
  </si>
  <si>
    <t>Natuurgras</t>
  </si>
  <si>
    <t>Mais</t>
  </si>
  <si>
    <t>Voederbieten</t>
  </si>
  <si>
    <t>Sorghum</t>
  </si>
  <si>
    <t>Eigen krachtvoer</t>
  </si>
  <si>
    <t>Veldbonen</t>
  </si>
  <si>
    <t>Soja</t>
  </si>
  <si>
    <t>MKS</t>
  </si>
  <si>
    <t>CCM</t>
  </si>
  <si>
    <t>Verschil kosten bouwplan:</t>
  </si>
  <si>
    <t>Aantal Ha extra</t>
  </si>
  <si>
    <t>Totaal nieuw areaal</t>
  </si>
  <si>
    <t>Huidige voerpositie</t>
  </si>
  <si>
    <t>Nieuwe voerpositie</t>
  </si>
  <si>
    <t>Opbrengst (KG DS)</t>
  </si>
  <si>
    <t>VEM (/KG DS)</t>
  </si>
  <si>
    <t>DVE (/KG DS)</t>
  </si>
  <si>
    <t>Totaal ruwvoer</t>
  </si>
  <si>
    <t>Totaal eigen krachtvoer</t>
  </si>
  <si>
    <t>Ruwvoerproductie</t>
  </si>
  <si>
    <t>Totaal huidig</t>
  </si>
  <si>
    <t>Totaal nieuw</t>
  </si>
  <si>
    <t>Verschil</t>
  </si>
  <si>
    <t xml:space="preserve"> </t>
  </si>
  <si>
    <t xml:space="preserve">Krachtvoerproductie </t>
  </si>
  <si>
    <t>Meer of minder koeien</t>
  </si>
  <si>
    <t>Huidig</t>
  </si>
  <si>
    <t>Nieuw</t>
  </si>
  <si>
    <t>Aantal koeien</t>
  </si>
  <si>
    <t>KG DS uit ruwvoer</t>
  </si>
  <si>
    <t>KG DS</t>
  </si>
  <si>
    <t>Verandering ruwvoerbehoefte</t>
  </si>
  <si>
    <t>VEM</t>
  </si>
  <si>
    <t>Ruwvoer aankoop</t>
  </si>
  <si>
    <t>Prijs per KG DS</t>
  </si>
  <si>
    <t>Ruwvoer besparing/verkoop</t>
  </si>
  <si>
    <t>Krachtvoer aankoop</t>
  </si>
  <si>
    <t>Krachtvoer besparing</t>
  </si>
  <si>
    <t>Verschil na aan-/verkoop</t>
  </si>
  <si>
    <t>VEM tekort of overschot</t>
  </si>
  <si>
    <t>Verschil totale jaarproductie</t>
  </si>
  <si>
    <t>Verschil jaarproductie per koe</t>
  </si>
  <si>
    <t>Verwachte melkproductie daling/stijging</t>
  </si>
  <si>
    <t>Melkproductie per koe</t>
  </si>
  <si>
    <t>Aantal melkkoeien</t>
  </si>
  <si>
    <t>Melkprijs</t>
  </si>
  <si>
    <t>Meerjarige melkprijs</t>
  </si>
  <si>
    <t>Aanpassen:</t>
  </si>
  <si>
    <t>Melkstroom</t>
  </si>
  <si>
    <t>Totale productie</t>
  </si>
  <si>
    <t>Krachtvoer per 100kg melk</t>
  </si>
  <si>
    <t>Krachtvoerprijs per kg</t>
  </si>
  <si>
    <t>Melkproductie</t>
  </si>
  <si>
    <t>Prijs aan-/afvoer</t>
  </si>
  <si>
    <t>Krachtvoer</t>
  </si>
  <si>
    <t xml:space="preserve">KG DS </t>
  </si>
  <si>
    <t>DVE</t>
  </si>
  <si>
    <t>Prijs/ KG DS</t>
  </si>
  <si>
    <t>Gras</t>
  </si>
  <si>
    <t>Bierbostel</t>
  </si>
  <si>
    <t>Perspulp</t>
  </si>
  <si>
    <t>Citruspulp</t>
  </si>
  <si>
    <t>Anders</t>
  </si>
  <si>
    <t>A-Brok</t>
  </si>
  <si>
    <t>B-Brok</t>
  </si>
  <si>
    <t>Eiwitkernbrok</t>
  </si>
  <si>
    <t>Zetmeel brok</t>
  </si>
  <si>
    <t>Graan (Tarwe)</t>
  </si>
  <si>
    <t>Soja (44/7)</t>
  </si>
  <si>
    <t>Gem. opbrengst</t>
  </si>
  <si>
    <t>Eigen invoer</t>
  </si>
  <si>
    <t>Opbrengst in KG DS</t>
  </si>
  <si>
    <t>VEM per KG DS</t>
  </si>
  <si>
    <t>DVE per KG DS</t>
  </si>
  <si>
    <t>(door)zaaien</t>
  </si>
  <si>
    <t>Gem. kosten</t>
  </si>
  <si>
    <t>Spuiten glyfosaat</t>
  </si>
  <si>
    <t>Frezen + ploegen</t>
  </si>
  <si>
    <t>Zaaien</t>
  </si>
  <si>
    <t>Zaaizaad</t>
  </si>
  <si>
    <t>Hoeveel jaar</t>
  </si>
  <si>
    <t>Kosten per jaar</t>
  </si>
  <si>
    <t>Bemesten</t>
  </si>
  <si>
    <t>Dierlijke mest uitrijden</t>
  </si>
  <si>
    <t>Kunstmest aanvoer (of dergelijken)</t>
  </si>
  <si>
    <t>Kunstmest strooien</t>
  </si>
  <si>
    <t>Gewasbescherming</t>
  </si>
  <si>
    <t>1x spuiten (incl GBM)</t>
  </si>
  <si>
    <t>Aantal keer spuiten per 10 jaar</t>
  </si>
  <si>
    <t>Oogsten</t>
  </si>
  <si>
    <t>Maaisnedes per jaar</t>
  </si>
  <si>
    <t>Maaien, schudden, Harken, oprapen</t>
  </si>
  <si>
    <t>Toevoegmiddelen</t>
  </si>
  <si>
    <t>Kosten per KG DS</t>
  </si>
  <si>
    <t>Kosten per kVEM</t>
  </si>
  <si>
    <t>Inzaaien</t>
  </si>
  <si>
    <t>1x spuiten (incl GWB)</t>
  </si>
  <si>
    <t>Ploegen/zaaiklaar maken</t>
  </si>
  <si>
    <t>Spuiten</t>
  </si>
  <si>
    <t>Gewasbeschermingsmiddelen</t>
  </si>
  <si>
    <t>Maishakselen</t>
  </si>
  <si>
    <t>Huidige invoer</t>
  </si>
  <si>
    <t>Rente %</t>
  </si>
  <si>
    <t>Maisland</t>
  </si>
  <si>
    <t>Gemiddeld</t>
  </si>
  <si>
    <t>Toelichting</t>
  </si>
  <si>
    <t>Grasland</t>
  </si>
  <si>
    <t>Aantal koeien meer/minder</t>
  </si>
  <si>
    <t>Stikstof gehalte (Kg N/M3)</t>
  </si>
  <si>
    <t>Dierlijke mest /HA (KG N)</t>
  </si>
  <si>
    <t>Kuub mest uitrijden (M3/HA)</t>
  </si>
  <si>
    <t>Blijvend grasland</t>
  </si>
  <si>
    <t>Tijdelijk grasland</t>
  </si>
  <si>
    <t>Natuur-gras</t>
  </si>
  <si>
    <t>Opbrengst in kg ds</t>
  </si>
  <si>
    <t>VEM per kg ds</t>
  </si>
  <si>
    <t>DVE per kg ds</t>
  </si>
  <si>
    <t>(door-) zaaien</t>
  </si>
  <si>
    <t>Maaien, schudden, harken, oprapen (per snede)</t>
  </si>
  <si>
    <t>Ploegen + zaai-klaar maken</t>
  </si>
  <si>
    <t xml:space="preserve">Spuiten </t>
  </si>
  <si>
    <t>KG dg uit ruwvoer (per koe)</t>
  </si>
  <si>
    <t>VEM per liter melk</t>
  </si>
  <si>
    <r>
      <t xml:space="preserve">Klei </t>
    </r>
    <r>
      <rPr>
        <b/>
        <sz val="9"/>
        <rFont val="Calibri"/>
        <family val="2"/>
        <scheme val="minor"/>
      </rPr>
      <t>MET</t>
    </r>
    <r>
      <rPr>
        <sz val="9"/>
        <rFont val="Calibri"/>
        <family val="2"/>
        <scheme val="minor"/>
      </rPr>
      <t xml:space="preserve"> derogatie</t>
    </r>
  </si>
  <si>
    <r>
      <t xml:space="preserve">Veen </t>
    </r>
    <r>
      <rPr>
        <b/>
        <sz val="9"/>
        <rFont val="Calibri"/>
        <family val="2"/>
        <scheme val="minor"/>
      </rPr>
      <t>MET</t>
    </r>
    <r>
      <rPr>
        <sz val="9"/>
        <rFont val="Calibri"/>
        <family val="2"/>
        <scheme val="minor"/>
      </rPr>
      <t xml:space="preserve"> derogatie</t>
    </r>
  </si>
  <si>
    <t>prijs /KG DS</t>
  </si>
  <si>
    <t>Gangbaar</t>
  </si>
  <si>
    <t>Deel-weidegang</t>
  </si>
  <si>
    <t>Weidegang</t>
  </si>
  <si>
    <t>Planet Proof (+ weidegang)</t>
  </si>
  <si>
    <t>Biologisch</t>
  </si>
  <si>
    <t>Biologisch dynamisch</t>
  </si>
  <si>
    <t>Toegerekende kosten</t>
  </si>
  <si>
    <t>Veekosten (per koe)</t>
  </si>
  <si>
    <t>Krachtvoerkosten per koe</t>
  </si>
  <si>
    <t>Krachtvoerkosten (per koe)</t>
  </si>
  <si>
    <t>Mestafzetkosten per koe</t>
  </si>
  <si>
    <t>Strooisel kosten (per koe)</t>
  </si>
  <si>
    <t>Mestafzetkosten (per koe)</t>
  </si>
  <si>
    <t>Extra/minder mest (per koe)</t>
  </si>
  <si>
    <t>Toelichting voerpositie</t>
  </si>
  <si>
    <t>DVE tekort of overschot</t>
  </si>
  <si>
    <t>DVE per liter melk</t>
  </si>
  <si>
    <t xml:space="preserve">   </t>
  </si>
  <si>
    <t>Bouwland</t>
  </si>
  <si>
    <t>Strooisel kosten per koe</t>
  </si>
  <si>
    <t>Veekosten per koe</t>
  </si>
  <si>
    <t>Krachtvoer per 100KG melk</t>
  </si>
  <si>
    <t>Krachtvoerprijs per KG</t>
  </si>
  <si>
    <t>Kwantiteit bepalen</t>
  </si>
  <si>
    <t>Kosten fosfaatrechten</t>
  </si>
  <si>
    <t>Kosten bepalen</t>
  </si>
  <si>
    <t>Prijs per kg fosfaat</t>
  </si>
  <si>
    <t>KG fosfaat per melkkoe</t>
  </si>
  <si>
    <r>
      <rPr>
        <sz val="22"/>
        <rFont val="Calibri"/>
        <family val="2"/>
        <scheme val="minor"/>
      </rPr>
      <t xml:space="preserve">Kosten </t>
    </r>
    <r>
      <rPr>
        <b/>
        <sz val="22"/>
        <rFont val="Calibri"/>
        <family val="2"/>
        <scheme val="minor"/>
      </rPr>
      <t>EXTRA</t>
    </r>
    <r>
      <rPr>
        <sz val="22"/>
        <rFont val="Calibri"/>
        <family val="2"/>
        <scheme val="minor"/>
      </rPr>
      <t xml:space="preserve"> land:</t>
    </r>
  </si>
  <si>
    <t>Ruwvoer besparing &amp; verkoop</t>
  </si>
  <si>
    <t>Prijs per kg fosfaat (koop)</t>
  </si>
  <si>
    <t>Prijs per kg fosfaat (lease)</t>
  </si>
  <si>
    <t>Afromingspercentage</t>
  </si>
  <si>
    <t>Nieuwe hoeveelheid fosfaat</t>
  </si>
  <si>
    <t>Huidige hoeveelheid fosfaat</t>
  </si>
  <si>
    <t>Per koe</t>
  </si>
  <si>
    <t>Hoeveelheid fosfaat (kg)</t>
  </si>
  <si>
    <t>Prijs eigen invoer</t>
  </si>
  <si>
    <t>Rentepercentage</t>
  </si>
  <si>
    <t>Rentekosten</t>
  </si>
  <si>
    <t>Rentpercentage eigen invoer</t>
  </si>
  <si>
    <t>Totaal (incl. fosfaatrechten)</t>
  </si>
  <si>
    <t>Rekentool natuurinclusieve landbouw 2.0 (NIL)</t>
  </si>
  <si>
    <t xml:space="preserve">Dit is de rekentool natuurinclusieve landbouw 2.0. Deze tool is ontworpen om inzicht te geven in de financiele gevolgen bij het doorvoeren van bedrijfsveranderingen op het gebied van natuurinclusieve landbouw. De tool richt zich op de grote lijnen (afgerond op hondertallen) en brengt enkel het verschil tussen de huidige en nieuwe situatie in beeld. </t>
  </si>
  <si>
    <t>Bovenaan de pagina's staan knoppen waarmee je door de rekentool kunt navigeren. Volg eerst de gehele rekentool doormiddel van de pijltjes. Vervolgens is het mogelijk om apparte onderwerpen bij te stellen en om met het huisje terug te gaan naar het overzicht.</t>
  </si>
  <si>
    <t>De groene velden zijn bedoeld voor de invoer en de gele knoppen brengen je naar een tabblad met extra invoermogelijkheden of extra informatie. Er is geen jaarrekening of kringloopwijzer nodig bij het invullen van de tool. Voor meer gebruiksinformatie, zie de handleiding.</t>
  </si>
  <si>
    <t>Klik rechtsboven op 'start' om te beginnen!</t>
  </si>
  <si>
    <r>
      <t xml:space="preserve">Overzicht - </t>
    </r>
    <r>
      <rPr>
        <i/>
        <sz val="24"/>
        <color theme="1"/>
        <rFont val="Calibri"/>
        <family val="2"/>
        <scheme val="minor"/>
      </rPr>
      <t>Rekentool natuurinclusieve landbouw 2.0</t>
    </r>
  </si>
  <si>
    <t>Mestafzetkosten per kuub</t>
  </si>
  <si>
    <t>Extra/minder mest per koe (kuub)</t>
  </si>
  <si>
    <t>Blijvend grasland - huidig</t>
  </si>
  <si>
    <t>Tijdelijk grasland - huidig</t>
  </si>
  <si>
    <t>Grasklaver - huidig</t>
  </si>
  <si>
    <t>Kruidenrijk grasland - huidig</t>
  </si>
  <si>
    <t>CCM - nieuw</t>
  </si>
  <si>
    <t>MKS - nieuw</t>
  </si>
  <si>
    <t>Soja - nieuw</t>
  </si>
  <si>
    <t>Veldbonen - nieuw</t>
  </si>
  <si>
    <t>Sorghum - nieuw</t>
  </si>
  <si>
    <t>Voederbieten - nieuw</t>
  </si>
  <si>
    <t>Maisland - nieuw</t>
  </si>
  <si>
    <t>Natuurgras - nieuw</t>
  </si>
  <si>
    <t>Luzerne - nieuw</t>
  </si>
  <si>
    <t>Kruidenrijk grasland - nieuw</t>
  </si>
  <si>
    <t>Grasklaver - nieuw</t>
  </si>
  <si>
    <t>Tijdelijk grasland - nieuw</t>
  </si>
  <si>
    <t>Blijvend grasland - nieuw</t>
  </si>
  <si>
    <t>CCM - huidig</t>
  </si>
  <si>
    <t>MKS - huidig</t>
  </si>
  <si>
    <t>Soja - huidig</t>
  </si>
  <si>
    <t>Veldbonen - huidig</t>
  </si>
  <si>
    <t>Sorghum - huidig</t>
  </si>
  <si>
    <t>Voederbieten - huidig</t>
  </si>
  <si>
    <t>Maisland - huidig</t>
  </si>
  <si>
    <t>Natuurgras - huidig</t>
  </si>
  <si>
    <t>Luzerne - huidig</t>
  </si>
  <si>
    <t>Aankopen</t>
  </si>
  <si>
    <t>Verkopen</t>
  </si>
  <si>
    <t>Verkoopbedrag totaal</t>
  </si>
  <si>
    <t>Aankoopbedrag totaal</t>
  </si>
  <si>
    <t>Leasen</t>
  </si>
  <si>
    <t>Verleasen</t>
  </si>
  <si>
    <t>Extra kosten</t>
  </si>
  <si>
    <t>Melkgeld</t>
  </si>
  <si>
    <t>Naam gewas</t>
  </si>
  <si>
    <t>Anders KV- huidig</t>
  </si>
  <si>
    <t>Anders RV - huidig</t>
  </si>
  <si>
    <t>Anders RV - nieuw</t>
  </si>
  <si>
    <t>Anders KV - nieuw</t>
  </si>
  <si>
    <t>Scan de QR-code voor de handleiding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</si>
</sst>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44" formatCode="_ &quot;€&quot;\ * #,##0.00_ ;_ &quot;€&quot;\ * \-#,##0.00_ ;_ &quot;€&quot;\ * &quot;-&quot;??_ ;_ @_ "/>
    <numFmt numFmtId="164" formatCode="_ &quot;€&quot;\ * #,##0.000_ ;_ &quot;€&quot;\ * \-#,##0.000_ ;_ &quot;€&quot;\ * &quot;-&quot;??_ ;_ @_ "/>
    <numFmt numFmtId="165" formatCode="_ &quot;€&quot;\ * #,##0_ ;_ &quot;€&quot;\ * \-#,##0_ ;_ &quot;€&quot;\ * &quot;-&quot;??_ ;_ @_ "/>
    <numFmt numFmtId="166" formatCode="#,##0_ ;\-#,##0\ "/>
  </numFmts>
  <fonts count="41"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11"/>
      <name val="Calibri"/>
      <family val="2"/>
      <scheme val="minor"/>
    </font>
    <font>
      <b/>
      <sz val="11"/>
      <color theme="0"/>
      <name val="Calibri"/>
      <family val="2"/>
      <scheme val="minor"/>
    </font>
    <font>
      <sz val="16"/>
      <color theme="1"/>
      <name val="Calibri"/>
      <family val="2"/>
      <scheme val="minor"/>
    </font>
    <font>
      <sz val="11"/>
      <color theme="0"/>
      <name val="Calibri"/>
      <family val="2"/>
      <scheme val="minor"/>
    </font>
    <font>
      <b/>
      <sz val="11"/>
      <name val="Calibri"/>
      <family val="2"/>
      <scheme val="minor"/>
    </font>
    <font>
      <b/>
      <u/>
      <sz val="11"/>
      <color theme="1"/>
      <name val="Calibri"/>
      <family val="2"/>
      <scheme val="minor"/>
    </font>
    <font>
      <b/>
      <i/>
      <sz val="11"/>
      <color theme="1"/>
      <name val="Calibri"/>
      <family val="2"/>
      <scheme val="minor"/>
    </font>
    <font>
      <sz val="11"/>
      <color rgb="FFFF0000"/>
      <name val="Calibri"/>
      <family val="2"/>
      <scheme val="minor"/>
    </font>
    <font>
      <i/>
      <sz val="11"/>
      <color theme="1"/>
      <name val="Calibri"/>
      <family val="2"/>
      <scheme val="minor"/>
    </font>
    <font>
      <b/>
      <sz val="14"/>
      <name val="Calibri"/>
      <family val="2"/>
      <scheme val="minor"/>
    </font>
    <font>
      <b/>
      <sz val="14"/>
      <color theme="1"/>
      <name val="Calibri"/>
      <family val="2"/>
      <scheme val="minor"/>
    </font>
    <font>
      <b/>
      <sz val="14"/>
      <color theme="10"/>
      <name val="Calibri"/>
      <family val="2"/>
      <scheme val="minor"/>
    </font>
    <font>
      <sz val="9"/>
      <color indexed="81"/>
      <name val="Tahoma"/>
      <family val="2"/>
    </font>
    <font>
      <i/>
      <sz val="9"/>
      <color indexed="81"/>
      <name val="Tahoma"/>
      <family val="2"/>
    </font>
    <font>
      <sz val="18"/>
      <name val="Calibri"/>
      <family val="2"/>
      <scheme val="minor"/>
    </font>
    <font>
      <sz val="8"/>
      <color rgb="FF000000"/>
      <name val="Segoe UI"/>
      <family val="2"/>
    </font>
    <font>
      <b/>
      <sz val="9"/>
      <color indexed="81"/>
      <name val="Tahoma"/>
      <family val="2"/>
    </font>
    <font>
      <i/>
      <sz val="11"/>
      <name val="Calibri"/>
      <family val="2"/>
      <scheme val="minor"/>
    </font>
    <font>
      <sz val="9"/>
      <name val="Calibri"/>
      <family val="2"/>
      <scheme val="minor"/>
    </font>
    <font>
      <i/>
      <sz val="9"/>
      <name val="Calibri"/>
      <family val="2"/>
      <scheme val="minor"/>
    </font>
    <font>
      <i/>
      <sz val="9"/>
      <color theme="1"/>
      <name val="Calibri"/>
      <family val="2"/>
      <scheme val="minor"/>
    </font>
    <font>
      <sz val="9"/>
      <color rgb="FF000000"/>
      <name val="Calibri"/>
      <family val="2"/>
      <scheme val="minor"/>
    </font>
    <font>
      <sz val="9"/>
      <color theme="1"/>
      <name val="Calibri"/>
      <family val="2"/>
      <scheme val="minor"/>
    </font>
    <font>
      <b/>
      <sz val="9"/>
      <name val="Calibri"/>
      <family val="2"/>
      <scheme val="minor"/>
    </font>
    <font>
      <b/>
      <u/>
      <sz val="14"/>
      <name val="Calibri"/>
      <family val="2"/>
      <scheme val="minor"/>
    </font>
    <font>
      <b/>
      <u/>
      <sz val="18"/>
      <name val="Calibri"/>
      <family val="2"/>
      <scheme val="minor"/>
    </font>
    <font>
      <b/>
      <sz val="12"/>
      <name val="Calibri"/>
      <family val="2"/>
      <scheme val="minor"/>
    </font>
    <font>
      <sz val="11"/>
      <color theme="9" tint="0.79998168889431442"/>
      <name val="Calibri"/>
      <family val="2"/>
      <scheme val="minor"/>
    </font>
    <font>
      <b/>
      <sz val="18"/>
      <color theme="1"/>
      <name val="Calibri"/>
      <family val="2"/>
      <scheme val="minor"/>
    </font>
    <font>
      <sz val="22"/>
      <name val="Calibri"/>
      <family val="2"/>
      <scheme val="minor"/>
    </font>
    <font>
      <b/>
      <sz val="22"/>
      <name val="Calibri"/>
      <family val="2"/>
      <scheme val="minor"/>
    </font>
    <font>
      <b/>
      <sz val="20"/>
      <color theme="1"/>
      <name val="Calibri"/>
      <family val="2"/>
      <scheme val="minor"/>
    </font>
    <font>
      <sz val="11"/>
      <color rgb="FF000000"/>
      <name val="Calibri"/>
      <family val="2"/>
      <scheme val="minor"/>
    </font>
    <font>
      <u/>
      <sz val="11"/>
      <color theme="1"/>
      <name val="Calibri"/>
      <family val="2"/>
      <scheme val="minor"/>
    </font>
    <font>
      <b/>
      <sz val="24"/>
      <color theme="1"/>
      <name val="Calibri"/>
      <family val="2"/>
      <scheme val="minor"/>
    </font>
    <font>
      <i/>
      <sz val="24"/>
      <color theme="1"/>
      <name val="Calibri"/>
      <family val="2"/>
      <scheme val="minor"/>
    </font>
    <font>
      <sz val="10"/>
      <color theme="1"/>
      <name val="Calibri"/>
      <family val="2"/>
      <scheme val="minor"/>
    </font>
  </fonts>
  <fills count="9">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FFFFFF"/>
        <bgColor rgb="FF000000"/>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tted">
        <color indexed="64"/>
      </left>
      <right/>
      <top style="dotted">
        <color indexed="64"/>
      </top>
      <bottom style="dotted">
        <color indexed="64"/>
      </bottom>
      <diagonal/>
    </border>
    <border>
      <left style="dotted">
        <color indexed="64"/>
      </left>
      <right/>
      <top style="dotted">
        <color indexed="64"/>
      </top>
      <bottom/>
      <diagonal/>
    </border>
    <border>
      <left style="dotted">
        <color indexed="64"/>
      </left>
      <right/>
      <top/>
      <bottom style="dotted">
        <color indexed="64"/>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diagonal/>
    </border>
    <border>
      <left/>
      <right/>
      <top style="dotted">
        <color indexed="64"/>
      </top>
      <bottom style="dott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dotted">
        <color indexed="64"/>
      </left>
      <right/>
      <top/>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cellStyleXfs>
  <cellXfs count="469">
    <xf numFmtId="0" fontId="0" fillId="0" borderId="0" xfId="0"/>
    <xf numFmtId="0" fontId="4" fillId="0" borderId="0" xfId="0" applyFont="1"/>
    <xf numFmtId="165" fontId="0" fillId="3" borderId="1" xfId="1" applyNumberFormat="1" applyFont="1" applyFill="1" applyBorder="1"/>
    <xf numFmtId="0" fontId="0" fillId="3" borderId="1" xfId="0" applyFill="1" applyBorder="1"/>
    <xf numFmtId="0" fontId="0" fillId="3" borderId="0" xfId="0" applyFill="1"/>
    <xf numFmtId="0" fontId="2" fillId="3" borderId="0" xfId="0" applyFont="1" applyFill="1"/>
    <xf numFmtId="0" fontId="0" fillId="3" borderId="0" xfId="1" applyNumberFormat="1" applyFont="1" applyFill="1" applyBorder="1"/>
    <xf numFmtId="0" fontId="5" fillId="3" borderId="0" xfId="0" applyFont="1" applyFill="1"/>
    <xf numFmtId="165" fontId="0" fillId="3" borderId="0" xfId="1" applyNumberFormat="1" applyFont="1" applyFill="1" applyBorder="1"/>
    <xf numFmtId="0" fontId="7" fillId="0" borderId="0" xfId="0" applyFont="1"/>
    <xf numFmtId="0" fontId="7" fillId="3" borderId="0" xfId="0" applyFont="1" applyFill="1"/>
    <xf numFmtId="0" fontId="0" fillId="0" borderId="1" xfId="0" applyBorder="1"/>
    <xf numFmtId="0" fontId="0" fillId="3" borderId="0" xfId="0" applyFill="1" applyAlignment="1">
      <alignment horizontal="center"/>
    </xf>
    <xf numFmtId="165" fontId="0" fillId="0" borderId="0" xfId="1" applyNumberFormat="1" applyFont="1" applyFill="1" applyBorder="1"/>
    <xf numFmtId="0" fontId="7" fillId="0" borderId="0" xfId="1" applyNumberFormat="1" applyFont="1" applyFill="1" applyBorder="1"/>
    <xf numFmtId="0" fontId="0" fillId="0" borderId="0" xfId="1" applyNumberFormat="1" applyFont="1" applyFill="1" applyBorder="1"/>
    <xf numFmtId="0" fontId="5" fillId="0" borderId="0" xfId="0" applyFont="1"/>
    <xf numFmtId="165" fontId="0" fillId="0" borderId="0" xfId="1" applyNumberFormat="1" applyFont="1" applyFill="1" applyBorder="1" applyAlignment="1">
      <alignment horizontal="center"/>
    </xf>
    <xf numFmtId="165" fontId="0" fillId="0" borderId="1" xfId="1" applyNumberFormat="1" applyFont="1" applyFill="1" applyBorder="1"/>
    <xf numFmtId="0" fontId="2" fillId="3" borderId="1" xfId="0" applyFont="1" applyFill="1" applyBorder="1"/>
    <xf numFmtId="44" fontId="0" fillId="0" borderId="0" xfId="1" applyFont="1" applyFill="1" applyBorder="1"/>
    <xf numFmtId="165" fontId="2" fillId="3" borderId="1" xfId="1" applyNumberFormat="1" applyFont="1" applyFill="1" applyBorder="1"/>
    <xf numFmtId="44" fontId="0" fillId="0" borderId="0" xfId="1" applyFont="1" applyFill="1" applyBorder="1" applyAlignment="1">
      <alignment horizontal="right"/>
    </xf>
    <xf numFmtId="0" fontId="7" fillId="0" borderId="1" xfId="0" applyFont="1" applyBorder="1"/>
    <xf numFmtId="1" fontId="0" fillId="0" borderId="1" xfId="0" applyNumberFormat="1" applyBorder="1"/>
    <xf numFmtId="9" fontId="0" fillId="0" borderId="0" xfId="0" applyNumberFormat="1"/>
    <xf numFmtId="1" fontId="0" fillId="0" borderId="0" xfId="0" applyNumberFormat="1"/>
    <xf numFmtId="0" fontId="4" fillId="0" borderId="0" xfId="0" applyFont="1" applyAlignment="1">
      <alignment horizontal="center" vertical="center"/>
    </xf>
    <xf numFmtId="165" fontId="4" fillId="0" borderId="0" xfId="3" applyNumberFormat="1" applyFont="1" applyFill="1" applyBorder="1" applyAlignment="1">
      <alignment horizontal="center" vertical="center"/>
    </xf>
    <xf numFmtId="165" fontId="4" fillId="0" borderId="0" xfId="1" applyNumberFormat="1" applyFont="1" applyFill="1" applyBorder="1" applyAlignment="1">
      <alignment horizontal="center" vertical="center"/>
    </xf>
    <xf numFmtId="0" fontId="4" fillId="0" borderId="0" xfId="1" applyNumberFormat="1" applyFont="1" applyFill="1" applyBorder="1" applyAlignment="1">
      <alignment horizontal="center" vertical="center"/>
    </xf>
    <xf numFmtId="0" fontId="8" fillId="0" borderId="0" xfId="0" applyFont="1" applyAlignment="1">
      <alignment horizontal="center" vertical="center"/>
    </xf>
    <xf numFmtId="0" fontId="4" fillId="3" borderId="0" xfId="0" applyFont="1" applyFill="1" applyAlignment="1">
      <alignment horizontal="center" vertical="center"/>
    </xf>
    <xf numFmtId="0" fontId="4" fillId="0" borderId="0" xfId="3" applyFont="1" applyFill="1" applyAlignment="1">
      <alignment horizontal="center" vertical="center"/>
    </xf>
    <xf numFmtId="0" fontId="7" fillId="3" borderId="0" xfId="1" applyNumberFormat="1" applyFont="1" applyFill="1" applyBorder="1"/>
    <xf numFmtId="165" fontId="2" fillId="3" borderId="0" xfId="1" applyNumberFormat="1" applyFont="1" applyFill="1" applyBorder="1"/>
    <xf numFmtId="0" fontId="11" fillId="0" borderId="0" xfId="0" applyFont="1"/>
    <xf numFmtId="165" fontId="4" fillId="3" borderId="1" xfId="1" applyNumberFormat="1" applyFont="1" applyFill="1" applyBorder="1"/>
    <xf numFmtId="0" fontId="7" fillId="0" borderId="0" xfId="0" applyFont="1" applyAlignment="1">
      <alignment horizontal="center"/>
    </xf>
    <xf numFmtId="0" fontId="4" fillId="3" borderId="1" xfId="0" applyFont="1" applyFill="1" applyBorder="1"/>
    <xf numFmtId="44" fontId="4" fillId="3" borderId="1" xfId="1" applyFont="1" applyFill="1" applyBorder="1"/>
    <xf numFmtId="0" fontId="4" fillId="3" borderId="0" xfId="0" applyFont="1" applyFill="1"/>
    <xf numFmtId="0" fontId="4" fillId="3" borderId="2" xfId="0" applyFont="1" applyFill="1" applyBorder="1"/>
    <xf numFmtId="165" fontId="4" fillId="3" borderId="4" xfId="1" applyNumberFormat="1" applyFont="1" applyFill="1" applyBorder="1"/>
    <xf numFmtId="3" fontId="0" fillId="0" borderId="1" xfId="0" applyNumberFormat="1" applyBorder="1"/>
    <xf numFmtId="44" fontId="0" fillId="3" borderId="0" xfId="1" applyFont="1" applyFill="1" applyBorder="1"/>
    <xf numFmtId="0" fontId="12" fillId="0" borderId="0" xfId="0" applyFont="1"/>
    <xf numFmtId="44" fontId="0" fillId="0" borderId="1" xfId="1" applyFont="1" applyBorder="1"/>
    <xf numFmtId="165" fontId="0" fillId="0" borderId="1" xfId="1" applyNumberFormat="1" applyFont="1" applyBorder="1"/>
    <xf numFmtId="44" fontId="0" fillId="3" borderId="1" xfId="1" applyFont="1" applyFill="1" applyBorder="1"/>
    <xf numFmtId="165" fontId="5" fillId="3" borderId="13" xfId="1" applyNumberFormat="1" applyFont="1" applyFill="1" applyBorder="1"/>
    <xf numFmtId="165" fontId="0" fillId="3" borderId="0" xfId="1" applyNumberFormat="1" applyFont="1" applyFill="1"/>
    <xf numFmtId="44" fontId="0" fillId="0" borderId="0" xfId="1" applyFont="1" applyFill="1" applyBorder="1" applyAlignment="1">
      <alignment horizontal="center"/>
    </xf>
    <xf numFmtId="44" fontId="0" fillId="0" borderId="0" xfId="0" applyNumberFormat="1"/>
    <xf numFmtId="0" fontId="0" fillId="0" borderId="4" xfId="0" applyBorder="1"/>
    <xf numFmtId="165" fontId="4" fillId="3" borderId="0" xfId="1" applyNumberFormat="1" applyFont="1" applyFill="1"/>
    <xf numFmtId="0" fontId="8" fillId="3" borderId="0" xfId="3" applyFont="1" applyFill="1" applyAlignment="1">
      <alignment horizontal="center" vertical="center"/>
    </xf>
    <xf numFmtId="0" fontId="0" fillId="0" borderId="0" xfId="0" applyAlignment="1">
      <alignment horizontal="center"/>
    </xf>
    <xf numFmtId="165" fontId="3" fillId="0" borderId="0" xfId="3" applyNumberFormat="1" applyFill="1" applyBorder="1" applyAlignment="1">
      <alignment horizontal="center"/>
    </xf>
    <xf numFmtId="0" fontId="3" fillId="3" borderId="0" xfId="3" applyFill="1" applyAlignment="1">
      <alignment horizontal="center"/>
    </xf>
    <xf numFmtId="0" fontId="3" fillId="0" borderId="0" xfId="3" applyFill="1" applyAlignment="1">
      <alignment horizontal="center"/>
    </xf>
    <xf numFmtId="0" fontId="0" fillId="3" borderId="13" xfId="0" applyFill="1" applyBorder="1"/>
    <xf numFmtId="0" fontId="0" fillId="3" borderId="0" xfId="0" applyFill="1" applyAlignment="1">
      <alignment horizontal="center" vertical="center"/>
    </xf>
    <xf numFmtId="0" fontId="0" fillId="0" borderId="0" xfId="0" applyAlignment="1">
      <alignment horizontal="center" vertical="center"/>
    </xf>
    <xf numFmtId="3" fontId="0" fillId="3" borderId="1" xfId="0" applyNumberFormat="1" applyFill="1" applyBorder="1"/>
    <xf numFmtId="0" fontId="0" fillId="0" borderId="0" xfId="0" applyAlignment="1">
      <alignment horizontal="left"/>
    </xf>
    <xf numFmtId="0" fontId="2" fillId="0" borderId="0" xfId="0" applyFont="1" applyAlignment="1">
      <alignment horizontal="center"/>
    </xf>
    <xf numFmtId="0" fontId="2" fillId="0" borderId="0" xfId="0" applyFont="1"/>
    <xf numFmtId="3" fontId="7" fillId="0" borderId="1" xfId="0" applyNumberFormat="1" applyFont="1" applyBorder="1"/>
    <xf numFmtId="0" fontId="7" fillId="3" borderId="0" xfId="3" applyFont="1" applyFill="1" applyAlignment="1">
      <alignment vertical="center"/>
    </xf>
    <xf numFmtId="164" fontId="0" fillId="0" borderId="14" xfId="1" applyNumberFormat="1" applyFont="1" applyFill="1" applyBorder="1"/>
    <xf numFmtId="44" fontId="0" fillId="3" borderId="0" xfId="1" applyFont="1" applyFill="1"/>
    <xf numFmtId="0" fontId="12" fillId="3" borderId="0" xfId="0" applyFont="1" applyFill="1" applyAlignment="1">
      <alignment horizontal="center"/>
    </xf>
    <xf numFmtId="0" fontId="12" fillId="3" borderId="0" xfId="0" applyFont="1" applyFill="1"/>
    <xf numFmtId="3" fontId="12" fillId="3" borderId="0" xfId="0" applyNumberFormat="1" applyFont="1" applyFill="1"/>
    <xf numFmtId="0" fontId="0" fillId="3" borderId="14" xfId="0" applyFill="1" applyBorder="1"/>
    <xf numFmtId="3" fontId="0" fillId="3" borderId="14" xfId="0" applyNumberFormat="1" applyFill="1" applyBorder="1"/>
    <xf numFmtId="1" fontId="0" fillId="3" borderId="14" xfId="0" applyNumberFormat="1" applyFill="1" applyBorder="1"/>
    <xf numFmtId="44" fontId="1" fillId="3" borderId="0" xfId="1" applyFont="1" applyFill="1" applyBorder="1"/>
    <xf numFmtId="44" fontId="0" fillId="3" borderId="14" xfId="1" applyFont="1" applyFill="1" applyBorder="1"/>
    <xf numFmtId="165" fontId="12" fillId="3" borderId="10" xfId="1" applyNumberFormat="1" applyFont="1" applyFill="1" applyBorder="1"/>
    <xf numFmtId="165" fontId="0" fillId="3" borderId="14" xfId="1" applyNumberFormat="1" applyFont="1" applyFill="1" applyBorder="1"/>
    <xf numFmtId="44" fontId="12" fillId="3" borderId="0" xfId="1" applyFont="1" applyFill="1" applyBorder="1"/>
    <xf numFmtId="41" fontId="12" fillId="3" borderId="10" xfId="1" applyNumberFormat="1" applyFont="1" applyFill="1" applyBorder="1"/>
    <xf numFmtId="0" fontId="0" fillId="0" borderId="14" xfId="0" applyBorder="1"/>
    <xf numFmtId="0" fontId="12" fillId="0" borderId="4" xfId="0" applyFont="1" applyBorder="1"/>
    <xf numFmtId="3" fontId="0" fillId="0" borderId="0" xfId="0" applyNumberFormat="1"/>
    <xf numFmtId="4" fontId="0" fillId="0" borderId="1" xfId="1" applyNumberFormat="1" applyFont="1" applyBorder="1"/>
    <xf numFmtId="3" fontId="0" fillId="0" borderId="1" xfId="1" applyNumberFormat="1" applyFont="1" applyBorder="1"/>
    <xf numFmtId="0" fontId="12" fillId="3" borderId="13" xfId="0" applyFont="1" applyFill="1" applyBorder="1"/>
    <xf numFmtId="3" fontId="0" fillId="3" borderId="15" xfId="0" applyNumberFormat="1" applyFill="1" applyBorder="1"/>
    <xf numFmtId="0" fontId="0" fillId="3" borderId="15" xfId="0" applyFill="1" applyBorder="1"/>
    <xf numFmtId="44" fontId="0" fillId="3" borderId="15" xfId="1" applyFont="1" applyFill="1" applyBorder="1"/>
    <xf numFmtId="165" fontId="0" fillId="3" borderId="15" xfId="1" applyNumberFormat="1" applyFont="1" applyFill="1" applyBorder="1"/>
    <xf numFmtId="41" fontId="12" fillId="3" borderId="8" xfId="1" applyNumberFormat="1" applyFont="1" applyFill="1" applyBorder="1"/>
    <xf numFmtId="0" fontId="12" fillId="3" borderId="5" xfId="0" applyFont="1" applyFill="1" applyBorder="1"/>
    <xf numFmtId="41" fontId="12" fillId="3" borderId="12" xfId="1" applyNumberFormat="1" applyFont="1" applyFill="1" applyBorder="1"/>
    <xf numFmtId="3" fontId="7" fillId="0" borderId="0" xfId="0" applyNumberFormat="1" applyFont="1"/>
    <xf numFmtId="3" fontId="0" fillId="0" borderId="0" xfId="0" applyNumberFormat="1" applyAlignment="1">
      <alignment horizontal="center"/>
    </xf>
    <xf numFmtId="3" fontId="4" fillId="0" borderId="0" xfId="0" applyNumberFormat="1" applyFont="1"/>
    <xf numFmtId="44" fontId="7" fillId="3" borderId="0" xfId="1" applyFont="1" applyFill="1" applyBorder="1"/>
    <xf numFmtId="3" fontId="4" fillId="0" borderId="0" xfId="0" applyNumberFormat="1" applyFont="1" applyAlignment="1">
      <alignment horizontal="center"/>
    </xf>
    <xf numFmtId="44" fontId="7" fillId="0" borderId="1" xfId="1" applyFont="1" applyBorder="1"/>
    <xf numFmtId="165" fontId="7" fillId="0" borderId="1" xfId="1" applyNumberFormat="1" applyFont="1" applyBorder="1"/>
    <xf numFmtId="44" fontId="7" fillId="0" borderId="1" xfId="1" applyFont="1" applyFill="1" applyBorder="1"/>
    <xf numFmtId="165" fontId="7" fillId="0" borderId="1" xfId="1" applyNumberFormat="1" applyFont="1" applyFill="1" applyBorder="1"/>
    <xf numFmtId="0" fontId="4" fillId="3" borderId="0" xfId="3" applyFont="1" applyFill="1" applyBorder="1" applyAlignment="1">
      <alignment horizontal="center" vertical="center"/>
    </xf>
    <xf numFmtId="0" fontId="3" fillId="0" borderId="0" xfId="3"/>
    <xf numFmtId="3" fontId="3" fillId="0" borderId="0" xfId="3" applyNumberFormat="1"/>
    <xf numFmtId="0" fontId="4" fillId="3" borderId="0" xfId="3" applyFont="1" applyFill="1" applyAlignment="1">
      <alignment vertical="center"/>
    </xf>
    <xf numFmtId="0" fontId="0" fillId="0" borderId="0" xfId="0" applyFill="1" applyBorder="1" applyAlignment="1">
      <alignment horizontal="center"/>
    </xf>
    <xf numFmtId="0" fontId="0" fillId="3" borderId="1" xfId="0" applyFill="1" applyBorder="1" applyAlignment="1">
      <alignment horizontal="right"/>
    </xf>
    <xf numFmtId="0" fontId="0" fillId="0" borderId="0" xfId="0" applyFill="1" applyBorder="1"/>
    <xf numFmtId="0" fontId="0" fillId="0" borderId="0" xfId="0" applyFill="1" applyBorder="1" applyAlignment="1"/>
    <xf numFmtId="0" fontId="0" fillId="0" borderId="0" xfId="0" applyFont="1"/>
    <xf numFmtId="166" fontId="0" fillId="0" borderId="1" xfId="1" applyNumberFormat="1" applyFont="1" applyBorder="1"/>
    <xf numFmtId="166" fontId="7" fillId="0" borderId="1" xfId="1" applyNumberFormat="1" applyFont="1" applyBorder="1"/>
    <xf numFmtId="166" fontId="7" fillId="0" borderId="1" xfId="1" applyNumberFormat="1" applyFont="1" applyFill="1" applyBorder="1"/>
    <xf numFmtId="0" fontId="25" fillId="0" borderId="0" xfId="0" applyFont="1" applyFill="1" applyBorder="1" applyAlignment="1">
      <alignment vertical="center" wrapText="1"/>
    </xf>
    <xf numFmtId="0" fontId="25" fillId="0" borderId="1" xfId="0" applyFont="1" applyBorder="1" applyAlignment="1">
      <alignment vertical="center" wrapText="1"/>
    </xf>
    <xf numFmtId="0" fontId="25" fillId="0" borderId="1" xfId="0" applyFont="1" applyBorder="1" applyAlignment="1">
      <alignment vertical="center"/>
    </xf>
    <xf numFmtId="3" fontId="25" fillId="0" borderId="1" xfId="0" applyNumberFormat="1" applyFont="1" applyBorder="1" applyAlignment="1">
      <alignment vertical="center" wrapText="1"/>
    </xf>
    <xf numFmtId="0" fontId="22" fillId="0" borderId="2" xfId="0" applyFont="1" applyFill="1" applyBorder="1"/>
    <xf numFmtId="0" fontId="22" fillId="0" borderId="1" xfId="0" applyFont="1" applyFill="1" applyBorder="1"/>
    <xf numFmtId="0" fontId="26" fillId="0" borderId="0" xfId="0" applyFont="1"/>
    <xf numFmtId="0" fontId="26" fillId="0" borderId="1" xfId="0" applyFont="1" applyBorder="1"/>
    <xf numFmtId="44" fontId="26" fillId="0" borderId="1" xfId="1" applyFont="1" applyBorder="1"/>
    <xf numFmtId="0" fontId="26" fillId="3" borderId="1" xfId="0" applyFont="1" applyFill="1" applyBorder="1"/>
    <xf numFmtId="44" fontId="26" fillId="3" borderId="1" xfId="1" applyFont="1" applyFill="1" applyBorder="1"/>
    <xf numFmtId="0" fontId="25" fillId="0" borderId="1" xfId="0" applyFont="1" applyFill="1" applyBorder="1" applyAlignment="1">
      <alignment vertical="center"/>
    </xf>
    <xf numFmtId="0" fontId="25" fillId="0" borderId="1" xfId="0" applyFont="1" applyFill="1" applyBorder="1" applyAlignment="1">
      <alignment vertical="center" wrapText="1"/>
    </xf>
    <xf numFmtId="0" fontId="26" fillId="0" borderId="1" xfId="0" applyFont="1" applyFill="1" applyBorder="1"/>
    <xf numFmtId="44" fontId="26" fillId="0" borderId="1" xfId="1" applyFont="1" applyFill="1" applyBorder="1" applyAlignment="1"/>
    <xf numFmtId="164" fontId="26" fillId="0" borderId="1" xfId="1" applyNumberFormat="1" applyFont="1" applyFill="1" applyBorder="1"/>
    <xf numFmtId="44" fontId="26" fillId="0" borderId="1" xfId="1" applyFont="1" applyFill="1" applyBorder="1" applyAlignment="1">
      <alignment horizontal="left"/>
    </xf>
    <xf numFmtId="0" fontId="0" fillId="3" borderId="1" xfId="0" applyFont="1" applyFill="1" applyBorder="1"/>
    <xf numFmtId="0" fontId="0" fillId="3" borderId="0" xfId="0" applyFont="1" applyFill="1" applyBorder="1"/>
    <xf numFmtId="44" fontId="0" fillId="3" borderId="0" xfId="0" applyNumberFormat="1" applyFont="1" applyFill="1" applyBorder="1"/>
    <xf numFmtId="1" fontId="1" fillId="3" borderId="1" xfId="1" applyNumberFormat="1" applyFont="1" applyFill="1" applyBorder="1"/>
    <xf numFmtId="3" fontId="26" fillId="3" borderId="1" xfId="1" applyNumberFormat="1" applyFont="1" applyFill="1" applyBorder="1"/>
    <xf numFmtId="1" fontId="26" fillId="3" borderId="1" xfId="1" applyNumberFormat="1" applyFont="1" applyFill="1" applyBorder="1"/>
    <xf numFmtId="1" fontId="22" fillId="3" borderId="1" xfId="0" applyNumberFormat="1" applyFont="1" applyFill="1" applyBorder="1"/>
    <xf numFmtId="44" fontId="26" fillId="3" borderId="1" xfId="1" applyNumberFormat="1" applyFont="1" applyFill="1" applyBorder="1"/>
    <xf numFmtId="165" fontId="26" fillId="3" borderId="1" xfId="1" applyNumberFormat="1" applyFont="1" applyFill="1" applyBorder="1"/>
    <xf numFmtId="1" fontId="2" fillId="3" borderId="1" xfId="1" applyNumberFormat="1" applyFont="1" applyFill="1" applyBorder="1"/>
    <xf numFmtId="1" fontId="0" fillId="3" borderId="1" xfId="0" applyNumberFormat="1" applyFont="1" applyFill="1" applyBorder="1"/>
    <xf numFmtId="165" fontId="25" fillId="0" borderId="1" xfId="1" applyNumberFormat="1" applyFont="1" applyBorder="1" applyAlignment="1">
      <alignment vertical="center" wrapText="1"/>
    </xf>
    <xf numFmtId="164" fontId="0" fillId="0" borderId="1" xfId="1" applyNumberFormat="1" applyFont="1" applyFill="1" applyBorder="1" applyAlignment="1"/>
    <xf numFmtId="0" fontId="0" fillId="0" borderId="0" xfId="0" applyAlignment="1"/>
    <xf numFmtId="0" fontId="2" fillId="0" borderId="0" xfId="0" applyFont="1" applyBorder="1" applyAlignment="1">
      <alignment horizontal="center"/>
    </xf>
    <xf numFmtId="44" fontId="2" fillId="0" borderId="0" xfId="0" applyNumberFormat="1" applyFont="1" applyBorder="1"/>
    <xf numFmtId="0" fontId="0" fillId="0" borderId="0" xfId="0" applyFill="1"/>
    <xf numFmtId="1" fontId="1" fillId="3" borderId="0" xfId="1" applyNumberFormat="1" applyFont="1" applyFill="1" applyBorder="1"/>
    <xf numFmtId="0" fontId="0" fillId="0" borderId="0" xfId="0" applyFont="1" applyBorder="1"/>
    <xf numFmtId="3" fontId="1" fillId="3" borderId="1" xfId="1" applyNumberFormat="1" applyFont="1" applyFill="1" applyBorder="1"/>
    <xf numFmtId="44" fontId="1" fillId="3" borderId="1" xfId="1" applyFont="1" applyFill="1" applyBorder="1"/>
    <xf numFmtId="1" fontId="4" fillId="3" borderId="1" xfId="0" applyNumberFormat="1" applyFont="1" applyFill="1" applyBorder="1"/>
    <xf numFmtId="44" fontId="1" fillId="3" borderId="1" xfId="1" applyNumberFormat="1" applyFont="1" applyFill="1" applyBorder="1"/>
    <xf numFmtId="0" fontId="4" fillId="3" borderId="0" xfId="0" applyFont="1" applyFill="1" applyAlignment="1">
      <alignment horizontal="center"/>
    </xf>
    <xf numFmtId="1" fontId="7" fillId="3" borderId="0" xfId="0" applyNumberFormat="1" applyFont="1" applyFill="1"/>
    <xf numFmtId="0" fontId="0" fillId="3" borderId="0" xfId="0" applyFill="1" applyAlignment="1">
      <alignment vertical="center"/>
    </xf>
    <xf numFmtId="0" fontId="0" fillId="3" borderId="0" xfId="0" applyFill="1" applyBorder="1"/>
    <xf numFmtId="0" fontId="0" fillId="3" borderId="0" xfId="0" applyFill="1" applyBorder="1" applyAlignment="1">
      <alignment vertical="center"/>
    </xf>
    <xf numFmtId="0" fontId="4" fillId="0" borderId="0" xfId="0" applyFont="1" applyFill="1"/>
    <xf numFmtId="0" fontId="4" fillId="0" borderId="0" xfId="0" applyFont="1" applyFill="1" applyBorder="1" applyAlignment="1">
      <alignment horizontal="center" wrapText="1"/>
    </xf>
    <xf numFmtId="0" fontId="7" fillId="0" borderId="0" xfId="0" applyFont="1" applyFill="1" applyBorder="1" applyAlignment="1">
      <alignment horizontal="center" vertical="center" wrapText="1"/>
    </xf>
    <xf numFmtId="165" fontId="4" fillId="0" borderId="0" xfId="1" applyNumberFormat="1" applyFont="1" applyFill="1" applyBorder="1"/>
    <xf numFmtId="0" fontId="13" fillId="0" borderId="0" xfId="3" applyFont="1" applyFill="1" applyBorder="1" applyAlignment="1">
      <alignment horizontal="left" vertical="center"/>
    </xf>
    <xf numFmtId="165" fontId="4" fillId="0" borderId="0" xfId="0" applyNumberFormat="1" applyFont="1" applyFill="1" applyBorder="1"/>
    <xf numFmtId="165" fontId="4" fillId="0" borderId="0" xfId="1" applyNumberFormat="1" applyFont="1" applyFill="1" applyBorder="1" applyAlignment="1">
      <alignment horizontal="center"/>
    </xf>
    <xf numFmtId="0" fontId="13" fillId="0" borderId="0" xfId="0" applyFont="1" applyFill="1" applyBorder="1" applyAlignment="1">
      <alignment horizontal="left" vertical="center"/>
    </xf>
    <xf numFmtId="0" fontId="13" fillId="0" borderId="4" xfId="3" applyFont="1" applyFill="1" applyBorder="1" applyAlignment="1">
      <alignment horizontal="left" vertical="center"/>
    </xf>
    <xf numFmtId="0" fontId="15" fillId="0" borderId="0" xfId="3" applyFont="1" applyFill="1" applyBorder="1" applyAlignment="1">
      <alignment horizontal="left" vertical="center"/>
    </xf>
    <xf numFmtId="165" fontId="22" fillId="0" borderId="0" xfId="0" applyNumberFormat="1" applyFont="1" applyFill="1" applyBorder="1" applyAlignment="1">
      <alignment vertical="center"/>
    </xf>
    <xf numFmtId="0" fontId="14" fillId="0" borderId="0" xfId="0" applyFont="1" applyFill="1" applyBorder="1" applyAlignment="1">
      <alignment horizontal="left" vertical="center"/>
    </xf>
    <xf numFmtId="165" fontId="0" fillId="0" borderId="0" xfId="0" applyNumberFormat="1" applyFill="1" applyBorder="1"/>
    <xf numFmtId="0" fontId="21" fillId="0" borderId="0" xfId="0" applyFont="1" applyFill="1" applyBorder="1" applyAlignment="1">
      <alignment horizontal="left" vertical="center"/>
    </xf>
    <xf numFmtId="165" fontId="4" fillId="0" borderId="1" xfId="1" applyNumberFormat="1" applyFont="1" applyFill="1" applyBorder="1" applyAlignment="1">
      <alignment vertical="center"/>
    </xf>
    <xf numFmtId="165" fontId="23" fillId="0" borderId="16" xfId="1" applyNumberFormat="1" applyFont="1" applyFill="1" applyBorder="1" applyAlignment="1">
      <alignment horizontal="left" vertical="center"/>
    </xf>
    <xf numFmtId="165" fontId="23" fillId="0" borderId="17" xfId="1" applyNumberFormat="1" applyFont="1" applyFill="1" applyBorder="1"/>
    <xf numFmtId="165" fontId="23" fillId="0" borderId="18" xfId="1" applyNumberFormat="1" applyFont="1" applyFill="1" applyBorder="1"/>
    <xf numFmtId="0" fontId="24" fillId="0" borderId="19" xfId="0" applyFont="1" applyFill="1" applyBorder="1" applyAlignment="1">
      <alignment vertical="center"/>
    </xf>
    <xf numFmtId="3" fontId="24" fillId="0" borderId="20" xfId="0" applyNumberFormat="1" applyFont="1" applyFill="1" applyBorder="1" applyAlignment="1">
      <alignment vertical="center"/>
    </xf>
    <xf numFmtId="165" fontId="22" fillId="0" borderId="21" xfId="0" applyNumberFormat="1" applyFont="1" applyFill="1" applyBorder="1" applyAlignment="1">
      <alignment vertical="center"/>
    </xf>
    <xf numFmtId="165" fontId="23" fillId="0" borderId="20" xfId="1" applyNumberFormat="1" applyFont="1" applyFill="1" applyBorder="1" applyAlignment="1">
      <alignment vertical="center"/>
    </xf>
    <xf numFmtId="165" fontId="23" fillId="0" borderId="18" xfId="1" applyNumberFormat="1" applyFont="1" applyFill="1" applyBorder="1" applyAlignment="1">
      <alignment vertical="center"/>
    </xf>
    <xf numFmtId="165" fontId="23" fillId="0" borderId="16" xfId="1" applyNumberFormat="1" applyFont="1" applyFill="1" applyBorder="1" applyAlignment="1">
      <alignment vertical="center"/>
    </xf>
    <xf numFmtId="0" fontId="2" fillId="3" borderId="0" xfId="0" applyFont="1" applyFill="1" applyBorder="1"/>
    <xf numFmtId="165" fontId="2" fillId="0" borderId="0" xfId="1" applyNumberFormat="1" applyFont="1" applyFill="1" applyBorder="1"/>
    <xf numFmtId="0" fontId="18" fillId="3" borderId="0" xfId="0" applyFont="1" applyFill="1" applyBorder="1" applyAlignment="1">
      <alignment horizontal="center" vertical="center"/>
    </xf>
    <xf numFmtId="0" fontId="4" fillId="7" borderId="1" xfId="0" applyFont="1" applyFill="1" applyBorder="1"/>
    <xf numFmtId="0" fontId="4" fillId="7" borderId="4" xfId="0" applyFont="1" applyFill="1" applyBorder="1"/>
    <xf numFmtId="0" fontId="4" fillId="7" borderId="14" xfId="0" applyFont="1" applyFill="1" applyBorder="1"/>
    <xf numFmtId="0" fontId="0" fillId="7" borderId="1" xfId="0" applyFill="1" applyBorder="1"/>
    <xf numFmtId="0" fontId="2" fillId="7" borderId="4" xfId="0" applyFont="1" applyFill="1" applyBorder="1" applyAlignment="1"/>
    <xf numFmtId="165" fontId="0" fillId="7" borderId="1" xfId="1" applyNumberFormat="1" applyFont="1" applyFill="1" applyBorder="1"/>
    <xf numFmtId="44" fontId="4" fillId="7" borderId="1" xfId="1" applyFont="1" applyFill="1" applyBorder="1"/>
    <xf numFmtId="165" fontId="4" fillId="7" borderId="1" xfId="1" applyNumberFormat="1" applyFont="1" applyFill="1" applyBorder="1"/>
    <xf numFmtId="0" fontId="2" fillId="7" borderId="1" xfId="0" applyFont="1" applyFill="1" applyBorder="1" applyAlignment="1"/>
    <xf numFmtId="0" fontId="4" fillId="0" borderId="0" xfId="0" applyFont="1" applyBorder="1" applyAlignment="1">
      <alignment horizontal="center" vertical="center"/>
    </xf>
    <xf numFmtId="0" fontId="0" fillId="0" borderId="0" xfId="0" applyBorder="1"/>
    <xf numFmtId="0" fontId="4" fillId="3" borderId="0" xfId="0" applyFont="1" applyFill="1" applyBorder="1" applyAlignment="1">
      <alignment horizontal="center" vertical="center"/>
    </xf>
    <xf numFmtId="0" fontId="0" fillId="7" borderId="1" xfId="0" applyFill="1" applyBorder="1" applyAlignment="1">
      <alignment horizontal="center"/>
    </xf>
    <xf numFmtId="0" fontId="0" fillId="7" borderId="1" xfId="0" applyFill="1" applyBorder="1" applyAlignment="1">
      <alignment horizontal="center"/>
    </xf>
    <xf numFmtId="3" fontId="0" fillId="7" borderId="1" xfId="0" applyNumberFormat="1" applyFill="1" applyBorder="1"/>
    <xf numFmtId="0" fontId="0" fillId="7" borderId="1" xfId="0" applyFill="1" applyBorder="1" applyAlignment="1">
      <alignment horizontal="left"/>
    </xf>
    <xf numFmtId="0" fontId="0" fillId="7" borderId="1" xfId="0" applyFill="1" applyBorder="1" applyAlignment="1"/>
    <xf numFmtId="0" fontId="0" fillId="7" borderId="2" xfId="0" applyFill="1" applyBorder="1"/>
    <xf numFmtId="0" fontId="0" fillId="7" borderId="14" xfId="0" applyFill="1" applyBorder="1"/>
    <xf numFmtId="0" fontId="7" fillId="7" borderId="1" xfId="0" applyFont="1" applyFill="1" applyBorder="1"/>
    <xf numFmtId="0" fontId="2" fillId="7" borderId="1" xfId="0" applyFont="1" applyFill="1" applyBorder="1"/>
    <xf numFmtId="0" fontId="0" fillId="7" borderId="1" xfId="0" applyFill="1" applyBorder="1" applyAlignment="1">
      <alignment horizontal="center"/>
    </xf>
    <xf numFmtId="0" fontId="0" fillId="7" borderId="1" xfId="0" applyFont="1" applyFill="1" applyBorder="1"/>
    <xf numFmtId="0" fontId="6" fillId="3" borderId="0" xfId="0" applyFont="1" applyFill="1" applyBorder="1" applyAlignment="1">
      <alignment horizontal="center" vertical="center"/>
    </xf>
    <xf numFmtId="0" fontId="10" fillId="7" borderId="1" xfId="0" applyFont="1" applyFill="1" applyBorder="1"/>
    <xf numFmtId="3" fontId="10" fillId="7" borderId="1" xfId="0" applyNumberFormat="1" applyFont="1" applyFill="1" applyBorder="1"/>
    <xf numFmtId="3" fontId="2" fillId="7" borderId="1" xfId="0" applyNumberFormat="1" applyFont="1" applyFill="1" applyBorder="1"/>
    <xf numFmtId="0" fontId="0" fillId="7" borderId="4" xfId="0" applyFill="1" applyBorder="1"/>
    <xf numFmtId="3" fontId="0" fillId="7" borderId="1" xfId="0" applyNumberFormat="1" applyFill="1" applyBorder="1" applyAlignment="1">
      <alignment horizontal="center" vertical="center"/>
    </xf>
    <xf numFmtId="3" fontId="0" fillId="7" borderId="1" xfId="0" applyNumberFormat="1" applyFill="1" applyBorder="1" applyAlignment="1">
      <alignment horizontal="center"/>
    </xf>
    <xf numFmtId="0" fontId="0" fillId="7" borderId="1" xfId="0" applyFill="1" applyBorder="1" applyAlignment="1">
      <alignment horizontal="center" vertical="center"/>
    </xf>
    <xf numFmtId="9" fontId="0" fillId="0" borderId="1" xfId="0" applyNumberFormat="1" applyBorder="1"/>
    <xf numFmtId="0" fontId="7" fillId="0" borderId="0" xfId="0" applyFont="1" applyFill="1" applyBorder="1"/>
    <xf numFmtId="0" fontId="32" fillId="0" borderId="0" xfId="0" applyFont="1" applyFill="1" applyBorder="1" applyAlignment="1">
      <alignment horizontal="center" vertical="center"/>
    </xf>
    <xf numFmtId="0" fontId="0" fillId="6" borderId="1" xfId="0" applyFill="1" applyBorder="1"/>
    <xf numFmtId="44" fontId="0" fillId="0" borderId="1" xfId="0" applyNumberFormat="1" applyBorder="1"/>
    <xf numFmtId="9" fontId="0" fillId="0" borderId="1" xfId="2" applyFont="1" applyBorder="1"/>
    <xf numFmtId="0" fontId="32" fillId="0" borderId="0" xfId="0" applyFont="1" applyFill="1" applyBorder="1" applyAlignment="1">
      <alignment vertical="center"/>
    </xf>
    <xf numFmtId="0" fontId="0" fillId="0" borderId="1" xfId="0" applyFill="1" applyBorder="1"/>
    <xf numFmtId="1" fontId="0" fillId="3" borderId="0" xfId="0" applyNumberFormat="1" applyFont="1" applyFill="1" applyBorder="1"/>
    <xf numFmtId="165" fontId="0" fillId="3" borderId="1" xfId="0" applyNumberFormat="1" applyFont="1" applyFill="1" applyBorder="1"/>
    <xf numFmtId="0" fontId="4" fillId="6" borderId="1" xfId="0" applyFont="1" applyFill="1" applyBorder="1"/>
    <xf numFmtId="0" fontId="0" fillId="3" borderId="25" xfId="0" applyFill="1" applyBorder="1"/>
    <xf numFmtId="0" fontId="0" fillId="3" borderId="26" xfId="0" applyFill="1" applyBorder="1"/>
    <xf numFmtId="0" fontId="0" fillId="3" borderId="27" xfId="0" applyFill="1" applyBorder="1"/>
    <xf numFmtId="0" fontId="0" fillId="3" borderId="28" xfId="0" applyFill="1" applyBorder="1"/>
    <xf numFmtId="0" fontId="0" fillId="3" borderId="29" xfId="0" applyFill="1" applyBorder="1"/>
    <xf numFmtId="0" fontId="8" fillId="3" borderId="30" xfId="0" applyFont="1" applyFill="1" applyBorder="1"/>
    <xf numFmtId="44" fontId="8" fillId="3" borderId="31" xfId="0" applyNumberFormat="1" applyFont="1" applyFill="1" applyBorder="1"/>
    <xf numFmtId="44" fontId="2" fillId="0" borderId="31" xfId="0" applyNumberFormat="1" applyFont="1" applyBorder="1"/>
    <xf numFmtId="0" fontId="7" fillId="2" borderId="1" xfId="0" applyFont="1" applyFill="1" applyBorder="1"/>
    <xf numFmtId="0" fontId="0" fillId="0" borderId="6" xfId="0" applyBorder="1"/>
    <xf numFmtId="3" fontId="0" fillId="0" borderId="0" xfId="0" applyNumberFormat="1" applyFill="1" applyBorder="1"/>
    <xf numFmtId="3" fontId="7" fillId="0" borderId="0" xfId="0" applyNumberFormat="1" applyFont="1" applyFill="1" applyBorder="1"/>
    <xf numFmtId="3" fontId="7" fillId="2" borderId="1" xfId="0" applyNumberFormat="1" applyFont="1" applyFill="1" applyBorder="1"/>
    <xf numFmtId="0" fontId="40" fillId="0" borderId="0" xfId="0" applyFont="1"/>
    <xf numFmtId="0" fontId="0" fillId="6" borderId="6" xfId="0" applyFill="1" applyBorder="1"/>
    <xf numFmtId="1" fontId="0" fillId="0" borderId="0" xfId="0" applyNumberFormat="1" applyFill="1" applyBorder="1"/>
    <xf numFmtId="44" fontId="0" fillId="0" borderId="0" xfId="0" applyNumberFormat="1" applyFill="1" applyBorder="1"/>
    <xf numFmtId="9" fontId="0" fillId="0" borderId="0" xfId="2" applyFont="1" applyFill="1" applyBorder="1"/>
    <xf numFmtId="165" fontId="0" fillId="0" borderId="1" xfId="0" applyNumberFormat="1" applyBorder="1"/>
    <xf numFmtId="0" fontId="2" fillId="0" borderId="30" xfId="0" applyFont="1" applyBorder="1"/>
    <xf numFmtId="0" fontId="2" fillId="6" borderId="30" xfId="0" applyFont="1" applyFill="1" applyBorder="1"/>
    <xf numFmtId="165" fontId="2" fillId="6" borderId="31" xfId="1" applyNumberFormat="1" applyFont="1" applyFill="1" applyBorder="1"/>
    <xf numFmtId="0" fontId="2" fillId="6" borderId="31" xfId="0" applyFont="1" applyFill="1" applyBorder="1"/>
    <xf numFmtId="0" fontId="4" fillId="6" borderId="1" xfId="0" applyFont="1" applyFill="1" applyBorder="1" applyAlignment="1">
      <alignment horizontal="left"/>
    </xf>
    <xf numFmtId="3" fontId="7" fillId="0" borderId="14" xfId="0" applyNumberFormat="1" applyFont="1" applyBorder="1" applyAlignment="1"/>
    <xf numFmtId="3" fontId="7" fillId="0" borderId="15" xfId="0" applyNumberFormat="1" applyFont="1" applyBorder="1" applyAlignment="1"/>
    <xf numFmtId="3" fontId="7" fillId="0" borderId="32" xfId="0" applyNumberFormat="1" applyFont="1" applyBorder="1" applyAlignment="1"/>
    <xf numFmtId="165" fontId="2" fillId="0" borderId="31" xfId="1" applyNumberFormat="1" applyFont="1" applyFill="1" applyBorder="1"/>
    <xf numFmtId="165" fontId="2" fillId="0" borderId="31" xfId="0" applyNumberFormat="1" applyFont="1" applyBorder="1"/>
    <xf numFmtId="0" fontId="0" fillId="7" borderId="1" xfId="0" applyFill="1" applyBorder="1" applyAlignment="1">
      <alignment horizontal="center"/>
    </xf>
    <xf numFmtId="165" fontId="8" fillId="3" borderId="31" xfId="1" applyNumberFormat="1" applyFont="1" applyFill="1" applyBorder="1"/>
    <xf numFmtId="0" fontId="8" fillId="3" borderId="0" xfId="0" applyFont="1" applyFill="1"/>
    <xf numFmtId="165" fontId="8" fillId="3" borderId="0" xfId="1" applyNumberFormat="1" applyFont="1" applyFill="1" applyBorder="1"/>
    <xf numFmtId="165" fontId="0" fillId="0" borderId="23" xfId="0" applyNumberFormat="1" applyFill="1" applyBorder="1"/>
    <xf numFmtId="165" fontId="0" fillId="0" borderId="28" xfId="1" applyNumberFormat="1" applyFont="1" applyFill="1" applyBorder="1"/>
    <xf numFmtId="165" fontId="24" fillId="0" borderId="33" xfId="1" applyNumberFormat="1" applyFont="1" applyFill="1" applyBorder="1"/>
    <xf numFmtId="0" fontId="24" fillId="3" borderId="34" xfId="0" applyFont="1" applyFill="1" applyBorder="1"/>
    <xf numFmtId="9" fontId="26" fillId="0" borderId="1" xfId="0" applyNumberFormat="1" applyFont="1" applyBorder="1"/>
    <xf numFmtId="44" fontId="0" fillId="0" borderId="1" xfId="1" applyFont="1" applyFill="1" applyBorder="1"/>
    <xf numFmtId="0" fontId="0" fillId="3" borderId="25" xfId="0" applyFill="1" applyBorder="1" applyAlignment="1">
      <alignment horizontal="left" wrapText="1"/>
    </xf>
    <xf numFmtId="0" fontId="4" fillId="2" borderId="1" xfId="0" applyFont="1" applyFill="1" applyBorder="1" applyProtection="1">
      <protection locked="0"/>
    </xf>
    <xf numFmtId="165" fontId="4" fillId="2" borderId="1" xfId="1" applyNumberFormat="1" applyFont="1" applyFill="1" applyBorder="1" applyProtection="1">
      <protection locked="0"/>
    </xf>
    <xf numFmtId="9" fontId="4" fillId="2" borderId="1" xfId="2" applyFont="1" applyFill="1" applyBorder="1" applyProtection="1">
      <protection locked="0"/>
    </xf>
    <xf numFmtId="0" fontId="4" fillId="2" borderId="1" xfId="0" applyFont="1" applyFill="1" applyBorder="1" applyAlignment="1" applyProtection="1">
      <alignment horizontal="left"/>
      <protection locked="0"/>
    </xf>
    <xf numFmtId="0" fontId="4" fillId="2" borderId="6" xfId="0" applyFont="1" applyFill="1" applyBorder="1" applyAlignment="1" applyProtection="1">
      <alignment horizontal="center"/>
      <protection locked="0"/>
    </xf>
    <xf numFmtId="0" fontId="31" fillId="2" borderId="1" xfId="0" applyFont="1" applyFill="1" applyBorder="1" applyProtection="1">
      <protection locked="0"/>
    </xf>
    <xf numFmtId="0" fontId="0" fillId="3" borderId="39" xfId="0" applyFill="1" applyBorder="1"/>
    <xf numFmtId="165" fontId="4" fillId="3" borderId="0" xfId="1" applyNumberFormat="1" applyFont="1" applyFill="1" applyBorder="1" applyAlignment="1">
      <alignment vertical="center"/>
    </xf>
    <xf numFmtId="0" fontId="0" fillId="2" borderId="1" xfId="0" applyFill="1" applyBorder="1" applyProtection="1">
      <protection locked="0"/>
    </xf>
    <xf numFmtId="0" fontId="0" fillId="2" borderId="1" xfId="0" applyFill="1" applyBorder="1" applyAlignment="1" applyProtection="1">
      <alignment horizontal="center"/>
      <protection locked="0"/>
    </xf>
    <xf numFmtId="0" fontId="0" fillId="2" borderId="1" xfId="0" applyFill="1" applyBorder="1" applyAlignment="1" applyProtection="1">
      <protection locked="0"/>
    </xf>
    <xf numFmtId="44" fontId="0" fillId="2" borderId="1" xfId="1" applyFont="1" applyFill="1" applyBorder="1" applyAlignment="1" applyProtection="1">
      <protection locked="0"/>
    </xf>
    <xf numFmtId="1" fontId="0" fillId="2" borderId="1" xfId="0" applyNumberFormat="1" applyFill="1" applyBorder="1" applyProtection="1">
      <protection locked="0"/>
    </xf>
    <xf numFmtId="165" fontId="0" fillId="2" borderId="1" xfId="1" applyNumberFormat="1" applyFont="1" applyFill="1" applyBorder="1" applyProtection="1">
      <protection locked="0"/>
    </xf>
    <xf numFmtId="9" fontId="0" fillId="2" borderId="1" xfId="2" applyFont="1" applyFill="1" applyBorder="1" applyProtection="1">
      <protection locked="0"/>
    </xf>
    <xf numFmtId="3" fontId="0" fillId="2" borderId="1" xfId="0" applyNumberFormat="1" applyFill="1" applyBorder="1" applyProtection="1">
      <protection locked="0"/>
    </xf>
    <xf numFmtId="44" fontId="0" fillId="2" borderId="1" xfId="0" applyNumberFormat="1" applyFill="1" applyBorder="1" applyProtection="1">
      <protection locked="0"/>
    </xf>
    <xf numFmtId="3" fontId="31" fillId="2" borderId="1" xfId="0" applyNumberFormat="1" applyFont="1" applyFill="1" applyBorder="1" applyProtection="1">
      <protection locked="0"/>
    </xf>
    <xf numFmtId="165" fontId="4" fillId="2" borderId="1" xfId="1" applyNumberFormat="1" applyFont="1" applyFill="1" applyBorder="1" applyAlignment="1" applyProtection="1">
      <alignment horizontal="right"/>
      <protection locked="0"/>
    </xf>
    <xf numFmtId="1" fontId="0" fillId="2" borderId="1" xfId="1" applyNumberFormat="1" applyFont="1" applyFill="1" applyBorder="1" applyProtection="1">
      <protection locked="0"/>
    </xf>
    <xf numFmtId="3" fontId="0" fillId="0" borderId="0" xfId="0" applyNumberFormat="1" applyProtection="1"/>
    <xf numFmtId="0" fontId="0" fillId="0" borderId="0" xfId="0" applyProtection="1"/>
    <xf numFmtId="3" fontId="4" fillId="2" borderId="1" xfId="0" applyNumberFormat="1" applyFont="1" applyFill="1" applyBorder="1" applyProtection="1">
      <protection locked="0"/>
    </xf>
    <xf numFmtId="1" fontId="4" fillId="2" borderId="1" xfId="0" applyNumberFormat="1" applyFont="1" applyFill="1" applyBorder="1" applyProtection="1">
      <protection locked="0"/>
    </xf>
    <xf numFmtId="3" fontId="0" fillId="2" borderId="1" xfId="1" applyNumberFormat="1" applyFont="1" applyFill="1" applyBorder="1" applyProtection="1">
      <protection locked="0"/>
    </xf>
    <xf numFmtId="166" fontId="0" fillId="2" borderId="1" xfId="1" applyNumberFormat="1" applyFont="1" applyFill="1" applyBorder="1" applyProtection="1">
      <protection locked="0"/>
    </xf>
    <xf numFmtId="165" fontId="0" fillId="0" borderId="1" xfId="1" applyNumberFormat="1" applyFont="1" applyBorder="1" applyProtection="1">
      <protection locked="0"/>
    </xf>
    <xf numFmtId="44" fontId="0" fillId="0" borderId="1" xfId="1" applyFont="1" applyBorder="1" applyProtection="1">
      <protection locked="0"/>
    </xf>
    <xf numFmtId="3" fontId="0" fillId="0" borderId="0" xfId="0" applyNumberFormat="1" applyBorder="1"/>
    <xf numFmtId="3" fontId="7" fillId="0" borderId="0" xfId="0" applyNumberFormat="1" applyFont="1" applyBorder="1"/>
    <xf numFmtId="0" fontId="7" fillId="0" borderId="0" xfId="0" applyFont="1" applyBorder="1"/>
    <xf numFmtId="3" fontId="0" fillId="0" borderId="1" xfId="0" applyNumberFormat="1" applyFill="1" applyBorder="1"/>
    <xf numFmtId="3" fontId="7" fillId="0" borderId="1" xfId="0" applyNumberFormat="1" applyFont="1" applyFill="1" applyBorder="1"/>
    <xf numFmtId="0" fontId="7" fillId="0" borderId="1" xfId="0" applyFont="1" applyFill="1" applyBorder="1"/>
    <xf numFmtId="165" fontId="0" fillId="6" borderId="1" xfId="1" applyNumberFormat="1" applyFont="1" applyFill="1" applyBorder="1"/>
    <xf numFmtId="3" fontId="0" fillId="6" borderId="1" xfId="0" applyNumberFormat="1" applyFill="1" applyBorder="1"/>
    <xf numFmtId="165" fontId="0" fillId="6" borderId="1" xfId="1" applyNumberFormat="1" applyFont="1" applyFill="1" applyBorder="1" applyProtection="1">
      <protection locked="0"/>
    </xf>
    <xf numFmtId="0" fontId="4" fillId="4" borderId="1" xfId="3" applyFont="1" applyFill="1" applyBorder="1" applyAlignment="1" applyProtection="1">
      <alignment horizontal="center" vertical="center"/>
      <protection locked="0"/>
    </xf>
    <xf numFmtId="0" fontId="37" fillId="3" borderId="25" xfId="0" applyFont="1" applyFill="1" applyBorder="1" applyAlignment="1">
      <alignment vertical="center" wrapText="1"/>
    </xf>
    <xf numFmtId="0" fontId="37" fillId="3" borderId="0" xfId="0" applyFont="1" applyFill="1" applyBorder="1" applyAlignment="1">
      <alignment vertical="center" wrapText="1"/>
    </xf>
    <xf numFmtId="0" fontId="37" fillId="3" borderId="25" xfId="0" applyFont="1" applyFill="1" applyBorder="1" applyAlignment="1"/>
    <xf numFmtId="0" fontId="37" fillId="3" borderId="26" xfId="0" applyFont="1" applyFill="1" applyBorder="1" applyAlignment="1"/>
    <xf numFmtId="0" fontId="37" fillId="3" borderId="0" xfId="0" applyFont="1" applyFill="1" applyBorder="1" applyAlignment="1"/>
    <xf numFmtId="0" fontId="0" fillId="3" borderId="0" xfId="0" applyFill="1" applyBorder="1" applyAlignment="1">
      <alignment wrapText="1"/>
    </xf>
    <xf numFmtId="0" fontId="0" fillId="0" borderId="25" xfId="0" applyBorder="1"/>
    <xf numFmtId="0" fontId="36" fillId="8" borderId="0" xfId="0" applyFont="1" applyFill="1" applyBorder="1" applyAlignment="1">
      <alignment horizontal="left" vertical="top" wrapText="1"/>
    </xf>
    <xf numFmtId="0" fontId="35" fillId="6" borderId="22" xfId="0" applyFont="1" applyFill="1" applyBorder="1" applyAlignment="1">
      <alignment horizontal="left" vertical="center"/>
    </xf>
    <xf numFmtId="0" fontId="35" fillId="6" borderId="23" xfId="0" applyFont="1" applyFill="1" applyBorder="1" applyAlignment="1">
      <alignment horizontal="left" vertical="center"/>
    </xf>
    <xf numFmtId="0" fontId="35" fillId="6" borderId="24" xfId="0" applyFont="1" applyFill="1" applyBorder="1" applyAlignment="1">
      <alignment horizontal="left" vertical="center"/>
    </xf>
    <xf numFmtId="0" fontId="35" fillId="6" borderId="25" xfId="0" applyFont="1" applyFill="1" applyBorder="1" applyAlignment="1">
      <alignment horizontal="left" vertical="center"/>
    </xf>
    <xf numFmtId="0" fontId="35" fillId="6" borderId="0" xfId="0" applyFont="1" applyFill="1" applyBorder="1" applyAlignment="1">
      <alignment horizontal="left" vertical="center"/>
    </xf>
    <xf numFmtId="0" fontId="35" fillId="6" borderId="26" xfId="0" applyFont="1" applyFill="1" applyBorder="1" applyAlignment="1">
      <alignment horizontal="left" vertical="center"/>
    </xf>
    <xf numFmtId="0" fontId="35" fillId="6" borderId="27" xfId="0" applyFont="1" applyFill="1" applyBorder="1" applyAlignment="1">
      <alignment horizontal="left" vertical="center"/>
    </xf>
    <xf numFmtId="0" fontId="35" fillId="6" borderId="28" xfId="0" applyFont="1" applyFill="1" applyBorder="1" applyAlignment="1">
      <alignment horizontal="left" vertical="center"/>
    </xf>
    <xf numFmtId="0" fontId="35" fillId="6" borderId="29" xfId="0" applyFont="1" applyFill="1" applyBorder="1" applyAlignment="1">
      <alignment horizontal="left" vertical="center"/>
    </xf>
    <xf numFmtId="0" fontId="0" fillId="3" borderId="25" xfId="0" applyFill="1" applyBorder="1" applyAlignment="1">
      <alignment horizontal="left" wrapText="1"/>
    </xf>
    <xf numFmtId="0" fontId="0" fillId="3" borderId="0" xfId="0" applyFill="1" applyBorder="1" applyAlignment="1">
      <alignment horizontal="left" wrapText="1"/>
    </xf>
    <xf numFmtId="0" fontId="0" fillId="3" borderId="26" xfId="0" applyFill="1" applyBorder="1" applyAlignment="1">
      <alignment horizontal="left" wrapText="1"/>
    </xf>
    <xf numFmtId="0" fontId="37" fillId="3" borderId="0" xfId="0" applyFont="1" applyFill="1" applyBorder="1" applyAlignment="1">
      <alignment horizontal="center"/>
    </xf>
    <xf numFmtId="0" fontId="37" fillId="3" borderId="22" xfId="0" applyFont="1" applyFill="1" applyBorder="1" applyAlignment="1">
      <alignment horizontal="center" vertical="center" wrapText="1"/>
    </xf>
    <xf numFmtId="0" fontId="37" fillId="3" borderId="24" xfId="0" applyFont="1" applyFill="1" applyBorder="1" applyAlignment="1">
      <alignment horizontal="center" vertical="center" wrapText="1"/>
    </xf>
    <xf numFmtId="0" fontId="37" fillId="3" borderId="25" xfId="0" applyFont="1" applyFill="1" applyBorder="1" applyAlignment="1">
      <alignment horizontal="center" vertical="center" wrapText="1"/>
    </xf>
    <xf numFmtId="0" fontId="37" fillId="3" borderId="26" xfId="0" applyFont="1" applyFill="1" applyBorder="1" applyAlignment="1">
      <alignment horizontal="center" vertical="center" wrapText="1"/>
    </xf>
    <xf numFmtId="0" fontId="4" fillId="3" borderId="8" xfId="0" applyFont="1" applyFill="1" applyBorder="1" applyAlignment="1">
      <alignment horizontal="center"/>
    </xf>
    <xf numFmtId="0" fontId="4" fillId="3" borderId="10" xfId="0" applyFont="1" applyFill="1" applyBorder="1" applyAlignment="1">
      <alignment horizontal="center"/>
    </xf>
    <xf numFmtId="0" fontId="4" fillId="3" borderId="12" xfId="0" applyFont="1" applyFill="1" applyBorder="1" applyAlignment="1">
      <alignment horizontal="center"/>
    </xf>
    <xf numFmtId="0" fontId="4" fillId="6" borderId="1" xfId="0" applyFont="1" applyFill="1" applyBorder="1" applyAlignment="1">
      <alignment horizontal="left"/>
    </xf>
    <xf numFmtId="0" fontId="4" fillId="3" borderId="1" xfId="0" applyFont="1" applyFill="1" applyBorder="1" applyAlignment="1">
      <alignment horizontal="center" vertical="center"/>
    </xf>
    <xf numFmtId="0" fontId="33" fillId="7" borderId="1" xfId="0" applyFont="1" applyFill="1" applyBorder="1" applyAlignment="1">
      <alignment horizontal="center" vertical="center"/>
    </xf>
    <xf numFmtId="0" fontId="34" fillId="7" borderId="1" xfId="0" applyFont="1" applyFill="1" applyBorder="1" applyAlignment="1">
      <alignment horizontal="center" vertical="center"/>
    </xf>
    <xf numFmtId="0" fontId="29" fillId="0" borderId="0" xfId="0" applyFont="1" applyFill="1" applyBorder="1" applyAlignment="1">
      <alignment horizontal="center" vertical="center"/>
    </xf>
    <xf numFmtId="0" fontId="6" fillId="7" borderId="1" xfId="0" applyFont="1" applyFill="1" applyBorder="1" applyAlignment="1">
      <alignment horizontal="center" vertical="center"/>
    </xf>
    <xf numFmtId="0" fontId="0" fillId="3" borderId="0" xfId="0" applyFill="1" applyBorder="1" applyAlignment="1">
      <alignment horizontal="center"/>
    </xf>
    <xf numFmtId="0" fontId="34" fillId="7" borderId="7" xfId="0" applyFont="1" applyFill="1" applyBorder="1" applyAlignment="1">
      <alignment horizontal="center" vertical="center"/>
    </xf>
    <xf numFmtId="0" fontId="34" fillId="7" borderId="13" xfId="0" applyFont="1" applyFill="1" applyBorder="1" applyAlignment="1">
      <alignment horizontal="center" vertical="center"/>
    </xf>
    <xf numFmtId="0" fontId="34" fillId="7" borderId="8" xfId="0" applyFont="1" applyFill="1" applyBorder="1" applyAlignment="1">
      <alignment horizontal="center" vertical="center"/>
    </xf>
    <xf numFmtId="0" fontId="34" fillId="7" borderId="11" xfId="0" applyFont="1" applyFill="1" applyBorder="1" applyAlignment="1">
      <alignment horizontal="center" vertical="center"/>
    </xf>
    <xf numFmtId="0" fontId="34" fillId="7" borderId="5" xfId="0" applyFont="1" applyFill="1" applyBorder="1" applyAlignment="1">
      <alignment horizontal="center" vertical="center"/>
    </xf>
    <xf numFmtId="0" fontId="34" fillId="7" borderId="12" xfId="0" applyFont="1" applyFill="1" applyBorder="1" applyAlignment="1">
      <alignment horizontal="center" vertical="center"/>
    </xf>
    <xf numFmtId="0" fontId="12" fillId="0" borderId="4" xfId="0" applyFont="1" applyBorder="1" applyAlignment="1">
      <alignment horizontal="left"/>
    </xf>
    <xf numFmtId="0" fontId="12" fillId="0" borderId="6" xfId="0" applyFont="1" applyBorder="1" applyAlignment="1">
      <alignment horizontal="left"/>
    </xf>
    <xf numFmtId="0" fontId="12" fillId="3" borderId="7" xfId="0" applyFont="1" applyFill="1" applyBorder="1" applyAlignment="1">
      <alignment horizontal="left"/>
    </xf>
    <xf numFmtId="0" fontId="12" fillId="3" borderId="13" xfId="0" applyFont="1" applyFill="1" applyBorder="1" applyAlignment="1">
      <alignment horizontal="left"/>
    </xf>
    <xf numFmtId="0" fontId="12" fillId="3" borderId="9" xfId="0" applyFont="1" applyFill="1" applyBorder="1" applyAlignment="1">
      <alignment horizontal="left"/>
    </xf>
    <xf numFmtId="0" fontId="12" fillId="3" borderId="0" xfId="0" applyFont="1" applyFill="1" applyAlignment="1">
      <alignment horizontal="left"/>
    </xf>
    <xf numFmtId="0" fontId="12" fillId="0" borderId="3" xfId="0" applyFont="1" applyBorder="1" applyAlignment="1">
      <alignment horizontal="center"/>
    </xf>
    <xf numFmtId="0" fontId="12" fillId="0" borderId="6" xfId="0" applyFont="1" applyBorder="1" applyAlignment="1">
      <alignment horizontal="center"/>
    </xf>
    <xf numFmtId="0" fontId="0" fillId="6" borderId="4" xfId="0" applyFill="1" applyBorder="1" applyAlignment="1">
      <alignment horizontal="center"/>
    </xf>
    <xf numFmtId="0" fontId="0" fillId="6" borderId="6" xfId="0" applyFill="1" applyBorder="1" applyAlignment="1">
      <alignment horizontal="center"/>
    </xf>
    <xf numFmtId="0" fontId="0" fillId="0" borderId="4" xfId="0" applyBorder="1" applyAlignment="1">
      <alignment horizontal="left"/>
    </xf>
    <xf numFmtId="0" fontId="0" fillId="0" borderId="6" xfId="0" applyBorder="1" applyAlignment="1">
      <alignment horizontal="left"/>
    </xf>
    <xf numFmtId="0" fontId="0" fillId="7" borderId="4" xfId="0" applyFill="1" applyBorder="1" applyAlignment="1">
      <alignment horizontal="left"/>
    </xf>
    <xf numFmtId="0" fontId="0" fillId="7" borderId="6" xfId="0" applyFill="1" applyBorder="1" applyAlignment="1">
      <alignment horizontal="left"/>
    </xf>
    <xf numFmtId="0" fontId="28" fillId="2" borderId="7" xfId="0" applyFont="1" applyFill="1" applyBorder="1" applyAlignment="1">
      <alignment horizontal="center" vertical="center"/>
    </xf>
    <xf numFmtId="0" fontId="28" fillId="2" borderId="13" xfId="0" applyFont="1" applyFill="1" applyBorder="1" applyAlignment="1">
      <alignment horizontal="center" vertical="center"/>
    </xf>
    <xf numFmtId="0" fontId="28" fillId="2" borderId="8" xfId="0" applyFont="1" applyFill="1" applyBorder="1" applyAlignment="1">
      <alignment horizontal="center" vertical="center"/>
    </xf>
    <xf numFmtId="0" fontId="28" fillId="2" borderId="11" xfId="0" applyFont="1" applyFill="1" applyBorder="1" applyAlignment="1">
      <alignment horizontal="center" vertical="center"/>
    </xf>
    <xf numFmtId="0" fontId="28" fillId="2" borderId="5" xfId="0" applyFont="1" applyFill="1" applyBorder="1" applyAlignment="1">
      <alignment horizontal="center" vertical="center"/>
    </xf>
    <xf numFmtId="0" fontId="28" fillId="2" borderId="12" xfId="0" applyFont="1" applyFill="1" applyBorder="1" applyAlignment="1">
      <alignment horizontal="center" vertical="center"/>
    </xf>
    <xf numFmtId="0" fontId="12" fillId="3" borderId="11" xfId="0" applyFont="1" applyFill="1" applyBorder="1" applyAlignment="1">
      <alignment horizontal="left"/>
    </xf>
    <xf numFmtId="0" fontId="12" fillId="3" borderId="5" xfId="0" applyFont="1" applyFill="1" applyBorder="1" applyAlignment="1">
      <alignment horizontal="left"/>
    </xf>
    <xf numFmtId="0" fontId="0" fillId="3" borderId="4" xfId="0" applyFill="1" applyBorder="1" applyAlignment="1">
      <alignment horizontal="left"/>
    </xf>
    <xf numFmtId="0" fontId="0" fillId="3" borderId="6" xfId="0" applyFill="1" applyBorder="1" applyAlignment="1">
      <alignment horizontal="left"/>
    </xf>
    <xf numFmtId="0" fontId="2" fillId="0" borderId="30" xfId="0" applyFont="1" applyBorder="1" applyAlignment="1">
      <alignment horizontal="center"/>
    </xf>
    <xf numFmtId="0" fontId="2" fillId="0" borderId="32" xfId="0" applyFont="1" applyBorder="1" applyAlignment="1">
      <alignment horizontal="center"/>
    </xf>
    <xf numFmtId="0" fontId="12" fillId="7" borderId="4" xfId="0" applyFont="1" applyFill="1" applyBorder="1" applyAlignment="1">
      <alignment horizontal="center"/>
    </xf>
    <xf numFmtId="0" fontId="12" fillId="7" borderId="6" xfId="0" applyFont="1" applyFill="1" applyBorder="1" applyAlignment="1">
      <alignment horizontal="center"/>
    </xf>
    <xf numFmtId="0" fontId="18" fillId="4" borderId="1" xfId="3" applyFont="1" applyFill="1" applyBorder="1" applyAlignment="1" applyProtection="1">
      <alignment horizontal="center" vertical="center"/>
      <protection locked="0"/>
    </xf>
    <xf numFmtId="0" fontId="12" fillId="3" borderId="3" xfId="0" applyFont="1" applyFill="1" applyBorder="1" applyAlignment="1">
      <alignment horizontal="center"/>
    </xf>
    <xf numFmtId="0" fontId="0" fillId="0" borderId="1" xfId="0" applyBorder="1" applyAlignment="1">
      <alignment horizontal="left"/>
    </xf>
    <xf numFmtId="0" fontId="0" fillId="7" borderId="1" xfId="0" applyFill="1" applyBorder="1" applyAlignment="1">
      <alignment horizontal="left"/>
    </xf>
    <xf numFmtId="0" fontId="0" fillId="3" borderId="3" xfId="0" applyFill="1" applyBorder="1" applyAlignment="1">
      <alignment horizontal="center"/>
    </xf>
    <xf numFmtId="0" fontId="0" fillId="3" borderId="11" xfId="0" applyFill="1" applyBorder="1" applyAlignment="1">
      <alignment horizontal="left"/>
    </xf>
    <xf numFmtId="0" fontId="0" fillId="3" borderId="12" xfId="0" applyFill="1" applyBorder="1" applyAlignment="1">
      <alignment horizontal="left"/>
    </xf>
    <xf numFmtId="0" fontId="0" fillId="7" borderId="7" xfId="0" applyFill="1" applyBorder="1" applyAlignment="1">
      <alignment horizontal="left"/>
    </xf>
    <xf numFmtId="0" fontId="0" fillId="7" borderId="8" xfId="0" applyFill="1" applyBorder="1" applyAlignment="1">
      <alignment horizontal="left"/>
    </xf>
    <xf numFmtId="0" fontId="0" fillId="5" borderId="1" xfId="0" applyFill="1" applyBorder="1" applyAlignment="1">
      <alignment horizontal="center"/>
    </xf>
    <xf numFmtId="0" fontId="0" fillId="6" borderId="1" xfId="0" applyFill="1" applyBorder="1" applyAlignment="1">
      <alignment horizontal="center"/>
    </xf>
    <xf numFmtId="0" fontId="0" fillId="0" borderId="1" xfId="0" applyBorder="1" applyAlignment="1">
      <alignment horizontal="center"/>
    </xf>
    <xf numFmtId="0" fontId="12" fillId="0" borderId="1" xfId="0" applyFont="1" applyBorder="1" applyAlignment="1">
      <alignment horizontal="center"/>
    </xf>
    <xf numFmtId="3" fontId="0" fillId="0" borderId="1" xfId="0" applyNumberFormat="1" applyBorder="1" applyAlignment="1">
      <alignment horizontal="center"/>
    </xf>
    <xf numFmtId="0" fontId="0" fillId="0" borderId="4" xfId="0" applyBorder="1" applyAlignment="1">
      <alignment horizontal="center"/>
    </xf>
    <xf numFmtId="0" fontId="0" fillId="0" borderId="3" xfId="0" applyBorder="1" applyAlignment="1">
      <alignment horizontal="center"/>
    </xf>
    <xf numFmtId="0" fontId="0" fillId="0" borderId="6" xfId="0" applyBorder="1" applyAlignment="1">
      <alignment horizontal="center"/>
    </xf>
    <xf numFmtId="0" fontId="0" fillId="7" borderId="1" xfId="0" applyFont="1" applyFill="1" applyBorder="1" applyAlignment="1">
      <alignment horizontal="center"/>
    </xf>
    <xf numFmtId="0" fontId="0" fillId="0" borderId="1" xfId="0" applyBorder="1" applyAlignment="1">
      <alignment horizontal="center" wrapText="1"/>
    </xf>
    <xf numFmtId="0" fontId="0" fillId="0" borderId="1" xfId="0" applyBorder="1" applyAlignment="1">
      <alignment horizontal="center" vertical="center"/>
    </xf>
    <xf numFmtId="0" fontId="0" fillId="7" borderId="4" xfId="0" applyFont="1" applyFill="1" applyBorder="1" applyAlignment="1">
      <alignment horizontal="center"/>
    </xf>
    <xf numFmtId="0" fontId="0" fillId="7" borderId="6" xfId="0" applyFont="1" applyFill="1" applyBorder="1" applyAlignment="1">
      <alignment horizontal="center"/>
    </xf>
    <xf numFmtId="0" fontId="0" fillId="0" borderId="0" xfId="0" applyAlignment="1">
      <alignment horizontal="center" vertical="center"/>
    </xf>
    <xf numFmtId="165" fontId="0" fillId="0" borderId="32" xfId="0" applyNumberFormat="1" applyBorder="1" applyAlignment="1">
      <alignment horizontal="center"/>
    </xf>
    <xf numFmtId="3" fontId="0" fillId="0" borderId="1" xfId="0" applyNumberFormat="1" applyBorder="1" applyAlignment="1">
      <alignment horizontal="right"/>
    </xf>
    <xf numFmtId="164" fontId="0" fillId="0" borderId="14" xfId="1" applyNumberFormat="1" applyFont="1" applyFill="1" applyBorder="1" applyAlignment="1">
      <alignment horizontal="center"/>
    </xf>
    <xf numFmtId="0" fontId="0" fillId="7" borderId="1" xfId="0" applyFill="1" applyBorder="1" applyAlignment="1">
      <alignment horizontal="center"/>
    </xf>
    <xf numFmtId="0" fontId="30" fillId="0" borderId="0" xfId="0" applyFont="1" applyFill="1" applyBorder="1" applyAlignment="1">
      <alignment horizontal="center" wrapText="1"/>
    </xf>
    <xf numFmtId="0" fontId="0" fillId="2" borderId="1" xfId="0" applyFill="1" applyBorder="1" applyAlignment="1" applyProtection="1">
      <alignment horizontal="center"/>
      <protection locked="0"/>
    </xf>
    <xf numFmtId="0" fontId="4" fillId="0" borderId="1" xfId="3" applyFont="1" applyFill="1" applyBorder="1" applyAlignment="1">
      <alignment horizontal="center"/>
    </xf>
    <xf numFmtId="0" fontId="0" fillId="0" borderId="5" xfId="0" applyBorder="1" applyAlignment="1">
      <alignment horizontal="center"/>
    </xf>
    <xf numFmtId="164" fontId="0" fillId="2" borderId="1" xfId="1" applyNumberFormat="1" applyFont="1" applyFill="1" applyBorder="1" applyAlignment="1" applyProtection="1">
      <alignment horizontal="center"/>
      <protection locked="0"/>
    </xf>
    <xf numFmtId="164" fontId="0" fillId="0" borderId="1" xfId="1" applyNumberFormat="1" applyFont="1" applyFill="1" applyBorder="1" applyAlignment="1">
      <alignment horizontal="center"/>
    </xf>
    <xf numFmtId="0" fontId="7" fillId="0" borderId="1" xfId="0" applyFont="1" applyBorder="1" applyAlignment="1">
      <alignment horizont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2" xfId="0" applyFont="1" applyBorder="1" applyAlignment="1">
      <alignment horizontal="center" vertical="center"/>
    </xf>
    <xf numFmtId="44" fontId="0" fillId="0" borderId="0" xfId="1" applyFont="1" applyFill="1" applyBorder="1" applyAlignment="1">
      <alignment horizontal="center"/>
    </xf>
    <xf numFmtId="165" fontId="2" fillId="2" borderId="4" xfId="1" applyNumberFormat="1" applyFont="1" applyFill="1" applyBorder="1" applyAlignment="1" applyProtection="1">
      <alignment horizontal="center"/>
      <protection locked="0"/>
    </xf>
    <xf numFmtId="165" fontId="2" fillId="2" borderId="6" xfId="1" applyNumberFormat="1" applyFont="1" applyFill="1" applyBorder="1" applyAlignment="1" applyProtection="1">
      <alignment horizontal="center"/>
      <protection locked="0"/>
    </xf>
    <xf numFmtId="165" fontId="9" fillId="3" borderId="4" xfId="1" applyNumberFormat="1" applyFont="1" applyFill="1" applyBorder="1" applyAlignment="1">
      <alignment horizontal="center"/>
    </xf>
    <xf numFmtId="165" fontId="9" fillId="3" borderId="6" xfId="1" applyNumberFormat="1" applyFont="1" applyFill="1" applyBorder="1" applyAlignment="1">
      <alignment horizontal="center"/>
    </xf>
    <xf numFmtId="1" fontId="4" fillId="3" borderId="4" xfId="3" applyNumberFormat="1" applyFont="1" applyFill="1" applyBorder="1" applyAlignment="1">
      <alignment horizontal="right"/>
    </xf>
    <xf numFmtId="1" fontId="4" fillId="3" borderId="6" xfId="3" applyNumberFormat="1" applyFont="1" applyFill="1" applyBorder="1" applyAlignment="1">
      <alignment horizontal="right"/>
    </xf>
    <xf numFmtId="165" fontId="2" fillId="0" borderId="4" xfId="1" applyNumberFormat="1" applyFont="1" applyFill="1" applyBorder="1" applyAlignment="1">
      <alignment horizontal="center"/>
    </xf>
    <xf numFmtId="165" fontId="2" fillId="0" borderId="6" xfId="1" applyNumberFormat="1" applyFont="1" applyFill="1" applyBorder="1" applyAlignment="1">
      <alignment horizontal="center"/>
    </xf>
    <xf numFmtId="1" fontId="4" fillId="2" borderId="4" xfId="0" applyNumberFormat="1" applyFont="1" applyFill="1" applyBorder="1" applyAlignment="1" applyProtection="1">
      <alignment horizontal="center"/>
      <protection locked="0"/>
    </xf>
    <xf numFmtId="1" fontId="4" fillId="2" borderId="6" xfId="0" applyNumberFormat="1" applyFont="1" applyFill="1" applyBorder="1" applyAlignment="1" applyProtection="1">
      <alignment horizontal="center"/>
      <protection locked="0"/>
    </xf>
    <xf numFmtId="44" fontId="1" fillId="2" borderId="4" xfId="1" applyNumberFormat="1" applyFont="1" applyFill="1" applyBorder="1" applyAlignment="1" applyProtection="1">
      <alignment horizontal="center"/>
      <protection locked="0"/>
    </xf>
    <xf numFmtId="44" fontId="1" fillId="2" borderId="6" xfId="1" applyNumberFormat="1" applyFont="1" applyFill="1" applyBorder="1" applyAlignment="1" applyProtection="1">
      <alignment horizontal="center"/>
      <protection locked="0"/>
    </xf>
    <xf numFmtId="165" fontId="2" fillId="3" borderId="4" xfId="1" applyNumberFormat="1" applyFont="1" applyFill="1" applyBorder="1" applyAlignment="1">
      <alignment horizontal="center"/>
    </xf>
    <xf numFmtId="165" fontId="2" fillId="3" borderId="6" xfId="1" applyNumberFormat="1" applyFont="1" applyFill="1" applyBorder="1" applyAlignment="1">
      <alignment horizontal="center"/>
    </xf>
    <xf numFmtId="0" fontId="2" fillId="4" borderId="7"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12" xfId="0" applyFont="1" applyFill="1" applyBorder="1" applyAlignment="1">
      <alignment horizontal="center" vertical="center" wrapText="1"/>
    </xf>
    <xf numFmtId="3" fontId="1" fillId="2" borderId="4" xfId="1" applyNumberFormat="1" applyFont="1" applyFill="1" applyBorder="1" applyAlignment="1" applyProtection="1">
      <alignment horizontal="center"/>
      <protection locked="0"/>
    </xf>
    <xf numFmtId="3" fontId="1" fillId="2" borderId="6" xfId="1" applyNumberFormat="1" applyFont="1" applyFill="1" applyBorder="1" applyAlignment="1" applyProtection="1">
      <alignment horizontal="center"/>
      <protection locked="0"/>
    </xf>
    <xf numFmtId="0" fontId="4" fillId="7" borderId="4" xfId="0" applyFont="1" applyFill="1" applyBorder="1" applyAlignment="1">
      <alignment horizontal="center"/>
    </xf>
    <xf numFmtId="0" fontId="4" fillId="7" borderId="6" xfId="0" applyFont="1" applyFill="1" applyBorder="1" applyAlignment="1">
      <alignment horizontal="center"/>
    </xf>
    <xf numFmtId="44" fontId="1" fillId="2" borderId="4" xfId="1" applyFont="1" applyFill="1" applyBorder="1" applyAlignment="1" applyProtection="1">
      <alignment horizontal="center"/>
      <protection locked="0"/>
    </xf>
    <xf numFmtId="44" fontId="1" fillId="2" borderId="6" xfId="1" applyFont="1" applyFill="1" applyBorder="1" applyAlignment="1" applyProtection="1">
      <alignment horizontal="center"/>
      <protection locked="0"/>
    </xf>
    <xf numFmtId="0" fontId="38" fillId="6" borderId="1" xfId="0" applyFont="1" applyFill="1" applyBorder="1" applyAlignment="1">
      <alignment horizontal="center" vertical="center"/>
    </xf>
    <xf numFmtId="0" fontId="14" fillId="0" borderId="35" xfId="0" applyFont="1" applyFill="1" applyBorder="1" applyAlignment="1">
      <alignment horizontal="center" vertical="center"/>
    </xf>
    <xf numFmtId="0" fontId="14" fillId="0" borderId="36" xfId="0" applyFont="1" applyFill="1" applyBorder="1" applyAlignment="1">
      <alignment horizontal="center" vertical="center"/>
    </xf>
    <xf numFmtId="165" fontId="2" fillId="0" borderId="37" xfId="1" applyNumberFormat="1" applyFont="1" applyFill="1" applyBorder="1" applyAlignment="1">
      <alignment horizontal="center" vertical="center"/>
    </xf>
    <xf numFmtId="165" fontId="2" fillId="0" borderId="38" xfId="1" applyNumberFormat="1" applyFont="1" applyFill="1" applyBorder="1" applyAlignment="1">
      <alignment horizontal="center" vertical="center"/>
    </xf>
    <xf numFmtId="0" fontId="0" fillId="3" borderId="0" xfId="0" applyFill="1" applyBorder="1" applyAlignment="1">
      <alignment horizontal="center" vertical="center"/>
    </xf>
    <xf numFmtId="0" fontId="13" fillId="0" borderId="4" xfId="3" applyFont="1" applyFill="1" applyBorder="1" applyAlignment="1">
      <alignment horizontal="left" vertical="center"/>
    </xf>
    <xf numFmtId="165" fontId="4" fillId="0" borderId="1" xfId="1" applyNumberFormat="1" applyFont="1" applyFill="1" applyBorder="1" applyAlignment="1">
      <alignment horizontal="center" vertical="center"/>
    </xf>
    <xf numFmtId="0" fontId="14" fillId="0" borderId="4" xfId="0" applyFont="1" applyFill="1" applyBorder="1" applyAlignment="1">
      <alignment horizontal="left" vertical="center"/>
    </xf>
    <xf numFmtId="0" fontId="32" fillId="6" borderId="1" xfId="0" applyFont="1" applyFill="1" applyBorder="1" applyAlignment="1">
      <alignment horizontal="center" vertical="center"/>
    </xf>
    <xf numFmtId="0" fontId="0" fillId="0" borderId="0" xfId="0" applyBorder="1" applyAlignment="1">
      <alignment horizontal="center"/>
    </xf>
    <xf numFmtId="0" fontId="0" fillId="0" borderId="0" xfId="0" applyFill="1" applyBorder="1" applyAlignment="1">
      <alignment horizontal="center"/>
    </xf>
    <xf numFmtId="0" fontId="32" fillId="7" borderId="1" xfId="0" applyFont="1" applyFill="1" applyBorder="1" applyAlignment="1">
      <alignment horizontal="center" vertical="center"/>
    </xf>
    <xf numFmtId="3" fontId="32" fillId="6" borderId="1" xfId="0" applyNumberFormat="1" applyFont="1" applyFill="1" applyBorder="1" applyAlignment="1">
      <alignment horizontal="center" vertical="center"/>
    </xf>
    <xf numFmtId="0" fontId="2" fillId="0" borderId="1" xfId="0" applyFont="1" applyBorder="1" applyAlignment="1">
      <alignment horizontal="center"/>
    </xf>
    <xf numFmtId="0" fontId="26" fillId="0" borderId="4" xfId="0" applyFont="1" applyFill="1" applyBorder="1" applyAlignment="1">
      <alignment horizontal="center"/>
    </xf>
    <xf numFmtId="0" fontId="26" fillId="0" borderId="6" xfId="0" applyFont="1" applyFill="1" applyBorder="1" applyAlignment="1">
      <alignment horizontal="center"/>
    </xf>
    <xf numFmtId="0" fontId="8" fillId="0" borderId="4" xfId="0" applyFont="1" applyFill="1" applyBorder="1" applyAlignment="1">
      <alignment horizontal="center"/>
    </xf>
    <xf numFmtId="0" fontId="8" fillId="0" borderId="3" xfId="0" applyFont="1" applyFill="1" applyBorder="1" applyAlignment="1">
      <alignment horizontal="center"/>
    </xf>
    <xf numFmtId="0" fontId="8" fillId="0" borderId="6" xfId="0" applyFont="1" applyFill="1" applyBorder="1" applyAlignment="1">
      <alignment horizontal="center"/>
    </xf>
    <xf numFmtId="0" fontId="2" fillId="0" borderId="4" xfId="0" applyFont="1" applyBorder="1" applyAlignment="1">
      <alignment horizontal="center"/>
    </xf>
    <xf numFmtId="0" fontId="2" fillId="0" borderId="3" xfId="0" applyFont="1" applyBorder="1" applyAlignment="1">
      <alignment horizontal="center"/>
    </xf>
    <xf numFmtId="0" fontId="2" fillId="0" borderId="6" xfId="0" applyFont="1" applyBorder="1" applyAlignment="1">
      <alignment horizontal="center"/>
    </xf>
    <xf numFmtId="0" fontId="22" fillId="0" borderId="1" xfId="0" applyFont="1" applyFill="1" applyBorder="1" applyAlignment="1">
      <alignment horizontal="center"/>
    </xf>
    <xf numFmtId="0" fontId="26" fillId="0" borderId="11" xfId="0" applyFont="1" applyFill="1" applyBorder="1" applyAlignment="1">
      <alignment horizontal="center"/>
    </xf>
    <xf numFmtId="0" fontId="26" fillId="0" borderId="12" xfId="0" applyFont="1" applyFill="1" applyBorder="1" applyAlignment="1">
      <alignment horizontal="center"/>
    </xf>
  </cellXfs>
  <cellStyles count="4">
    <cellStyle name="Hyperlink" xfId="3" builtinId="8"/>
    <cellStyle name="Procent" xfId="2" builtinId="5"/>
    <cellStyle name="Standaard" xfId="0" builtinId="0"/>
    <cellStyle name="Valuta" xfId="1" builtinId="4"/>
  </cellStyles>
  <dxfs count="147">
    <dxf>
      <font>
        <color theme="0"/>
      </font>
    </dxf>
    <dxf>
      <fill>
        <patternFill patternType="none">
          <bgColor auto="1"/>
        </patternFill>
      </fill>
    </dxf>
    <dxf>
      <fill>
        <patternFill>
          <bgColor theme="2" tint="-9.9948118533890809E-2"/>
        </patternFill>
      </fill>
    </dxf>
    <dxf>
      <fill>
        <patternFill>
          <bgColor theme="2" tint="-9.9948118533890809E-2"/>
        </patternFill>
      </fill>
    </dxf>
    <dxf>
      <font>
        <color theme="0"/>
      </font>
      <fill>
        <patternFill patternType="none">
          <bgColor auto="1"/>
        </patternFill>
      </fill>
    </dxf>
    <dxf>
      <font>
        <color theme="1"/>
      </font>
    </dxf>
    <dxf>
      <fill>
        <patternFill>
          <bgColor theme="2" tint="-9.9948118533890809E-2"/>
        </patternFill>
      </fill>
    </dxf>
    <dxf>
      <fill>
        <patternFill>
          <bgColor theme="2" tint="-9.9948118533890809E-2"/>
        </patternFill>
      </fill>
    </dxf>
    <dxf>
      <font>
        <color theme="0"/>
      </font>
      <fill>
        <patternFill patternType="none">
          <bgColor auto="1"/>
        </patternFill>
      </fill>
    </dxf>
    <dxf>
      <font>
        <color theme="1"/>
      </font>
    </dxf>
    <dxf>
      <fill>
        <patternFill>
          <bgColor theme="2" tint="-9.9948118533890809E-2"/>
        </patternFill>
      </fill>
    </dxf>
    <dxf>
      <fill>
        <patternFill>
          <bgColor theme="2" tint="-9.9948118533890809E-2"/>
        </patternFill>
      </fill>
    </dxf>
    <dxf>
      <font>
        <color theme="0"/>
      </font>
      <fill>
        <patternFill patternType="none">
          <bgColor auto="1"/>
        </patternFill>
      </fill>
    </dxf>
    <dxf>
      <font>
        <color theme="1"/>
      </font>
    </dxf>
    <dxf>
      <fill>
        <patternFill>
          <bgColor theme="2" tint="-9.9948118533890809E-2"/>
        </patternFill>
      </fill>
    </dxf>
    <dxf>
      <fill>
        <patternFill>
          <bgColor theme="2" tint="-9.9948118533890809E-2"/>
        </patternFill>
      </fill>
    </dxf>
    <dxf>
      <font>
        <color theme="0"/>
      </font>
      <fill>
        <patternFill patternType="none">
          <bgColor auto="1"/>
        </patternFill>
      </fill>
    </dxf>
    <dxf>
      <font>
        <color theme="1"/>
      </font>
    </dxf>
    <dxf>
      <font>
        <color theme="0"/>
      </font>
    </dxf>
    <dxf>
      <fill>
        <patternFill patternType="none">
          <bgColor auto="1"/>
        </patternFill>
      </fill>
    </dxf>
    <dxf>
      <fill>
        <patternFill>
          <bgColor theme="2" tint="-9.9948118533890809E-2"/>
        </patternFill>
      </fill>
    </dxf>
    <dxf>
      <fill>
        <patternFill>
          <bgColor theme="2" tint="-9.9948118533890809E-2"/>
        </patternFill>
      </fill>
    </dxf>
    <dxf>
      <font>
        <color theme="0"/>
      </font>
      <fill>
        <patternFill patternType="none">
          <bgColor auto="1"/>
        </patternFill>
      </fill>
    </dxf>
    <dxf>
      <font>
        <color theme="1"/>
      </font>
    </dxf>
    <dxf>
      <fill>
        <patternFill>
          <bgColor theme="2" tint="-9.9948118533890809E-2"/>
        </patternFill>
      </fill>
    </dxf>
    <dxf>
      <fill>
        <patternFill>
          <bgColor theme="2" tint="-9.9948118533890809E-2"/>
        </patternFill>
      </fill>
    </dxf>
    <dxf>
      <font>
        <color theme="0"/>
      </font>
      <fill>
        <patternFill patternType="none">
          <bgColor auto="1"/>
        </patternFill>
      </fill>
    </dxf>
    <dxf>
      <font>
        <color theme="1"/>
      </font>
    </dxf>
    <dxf>
      <fill>
        <patternFill>
          <bgColor theme="2" tint="-9.9948118533890809E-2"/>
        </patternFill>
      </fill>
    </dxf>
    <dxf>
      <fill>
        <patternFill>
          <bgColor theme="2" tint="-9.9948118533890809E-2"/>
        </patternFill>
      </fill>
    </dxf>
    <dxf>
      <font>
        <color theme="0"/>
      </font>
      <fill>
        <patternFill patternType="none">
          <bgColor auto="1"/>
        </patternFill>
      </fill>
    </dxf>
    <dxf>
      <font>
        <color theme="1"/>
      </font>
    </dxf>
    <dxf>
      <fill>
        <patternFill>
          <bgColor theme="2" tint="-9.9948118533890809E-2"/>
        </patternFill>
      </fill>
    </dxf>
    <dxf>
      <fill>
        <patternFill>
          <bgColor theme="2" tint="-9.9948118533890809E-2"/>
        </patternFill>
      </fill>
    </dxf>
    <dxf>
      <font>
        <color theme="1"/>
      </font>
    </dxf>
    <dxf>
      <font>
        <color theme="0"/>
      </font>
      <fill>
        <patternFill patternType="none">
          <bgColor auto="1"/>
        </patternFill>
      </fill>
    </dxf>
    <dxf>
      <fill>
        <patternFill>
          <bgColor theme="2" tint="-9.9948118533890809E-2"/>
        </patternFill>
      </fill>
    </dxf>
    <dxf>
      <fill>
        <patternFill>
          <bgColor theme="2" tint="-9.9948118533890809E-2"/>
        </patternFill>
      </fill>
    </dxf>
    <dxf>
      <font>
        <color theme="1"/>
      </font>
    </dxf>
    <dxf>
      <font>
        <color theme="0"/>
      </font>
      <fill>
        <patternFill patternType="none">
          <bgColor auto="1"/>
        </patternFill>
      </fill>
    </dxf>
    <dxf>
      <fill>
        <patternFill>
          <bgColor theme="2" tint="-9.9948118533890809E-2"/>
        </patternFill>
      </fill>
    </dxf>
    <dxf>
      <fill>
        <patternFill>
          <bgColor theme="2" tint="-9.9948118533890809E-2"/>
        </patternFill>
      </fill>
    </dxf>
    <dxf>
      <font>
        <color theme="1"/>
      </font>
    </dxf>
    <dxf>
      <font>
        <color theme="0"/>
      </font>
      <fill>
        <patternFill patternType="none">
          <bgColor auto="1"/>
        </patternFill>
      </fill>
    </dxf>
    <dxf>
      <fill>
        <patternFill>
          <bgColor theme="2" tint="-9.9948118533890809E-2"/>
        </patternFill>
      </fill>
    </dxf>
    <dxf>
      <fill>
        <patternFill>
          <bgColor theme="2" tint="-9.9948118533890809E-2"/>
        </patternFill>
      </fill>
    </dxf>
    <dxf>
      <font>
        <color theme="1"/>
      </font>
    </dxf>
    <dxf>
      <font>
        <color theme="0"/>
      </font>
      <fill>
        <patternFill patternType="none">
          <bgColor auto="1"/>
        </patternFill>
      </fill>
    </dxf>
    <dxf>
      <fill>
        <patternFill>
          <bgColor theme="2" tint="-9.9948118533890809E-2"/>
        </patternFill>
      </fill>
    </dxf>
    <dxf>
      <fill>
        <patternFill>
          <bgColor theme="2" tint="-9.9948118533890809E-2"/>
        </patternFill>
      </fill>
    </dxf>
    <dxf>
      <font>
        <color theme="1"/>
      </font>
    </dxf>
    <dxf>
      <font>
        <color theme="0"/>
      </font>
      <fill>
        <patternFill patternType="none">
          <bgColor auto="1"/>
        </patternFill>
      </fill>
    </dxf>
    <dxf>
      <font>
        <color auto="1"/>
      </font>
      <fill>
        <patternFill patternType="solid">
          <bgColor theme="2" tint="-9.9948118533890809E-2"/>
        </patternFill>
      </fill>
    </dxf>
    <dxf>
      <font>
        <color auto="1"/>
      </font>
      <fill>
        <patternFill patternType="none">
          <bgColor auto="1"/>
        </patternFill>
      </fill>
    </dxf>
    <dxf>
      <font>
        <color theme="0"/>
      </font>
      <fill>
        <patternFill patternType="none">
          <bgColor auto="1"/>
        </patternFill>
      </fill>
    </dxf>
    <dxf>
      <font>
        <color auto="1"/>
      </font>
    </dxf>
    <dxf>
      <font>
        <color theme="0"/>
      </font>
    </dxf>
    <dxf>
      <fill>
        <patternFill patternType="none">
          <bgColor auto="1"/>
        </patternFill>
      </fill>
    </dxf>
    <dxf>
      <font>
        <color auto="1"/>
      </font>
      <fill>
        <patternFill patternType="none">
          <bgColor auto="1"/>
        </patternFill>
      </fill>
    </dxf>
    <dxf>
      <font>
        <color theme="0"/>
      </font>
    </dxf>
    <dxf>
      <font>
        <color theme="0"/>
      </font>
      <fill>
        <patternFill patternType="none">
          <bgColor auto="1"/>
        </patternFill>
      </fill>
    </dxf>
    <dxf>
      <font>
        <color theme="0"/>
      </font>
    </dxf>
    <dxf>
      <fill>
        <patternFill patternType="none">
          <bgColor auto="1"/>
        </patternFill>
      </fill>
    </dxf>
    <dxf>
      <font>
        <color theme="0"/>
      </font>
    </dxf>
    <dxf>
      <fill>
        <patternFill patternType="none">
          <bgColor auto="1"/>
        </patternFill>
      </fill>
    </dxf>
    <dxf>
      <font>
        <color theme="0"/>
      </font>
    </dxf>
    <dxf>
      <fill>
        <patternFill patternType="none">
          <bgColor auto="1"/>
        </patternFill>
      </fill>
    </dxf>
    <dxf>
      <font>
        <color theme="0"/>
      </font>
    </dxf>
    <dxf>
      <fill>
        <patternFill patternType="none">
          <bgColor auto="1"/>
        </patternFill>
      </fill>
    </dxf>
    <dxf>
      <font>
        <color theme="0"/>
      </font>
    </dxf>
    <dxf>
      <fill>
        <patternFill patternType="none">
          <bgColor auto="1"/>
        </patternFill>
      </fill>
    </dxf>
    <dxf>
      <font>
        <color theme="0"/>
      </font>
    </dxf>
    <dxf>
      <fill>
        <patternFill patternType="none">
          <bgColor auto="1"/>
        </patternFill>
      </fill>
    </dxf>
    <dxf>
      <font>
        <color auto="1"/>
      </font>
    </dxf>
    <dxf>
      <fill>
        <patternFill>
          <bgColor theme="1"/>
        </patternFill>
      </fill>
    </dxf>
    <dxf>
      <font>
        <color theme="0"/>
      </font>
    </dxf>
    <dxf>
      <fill>
        <patternFill patternType="none">
          <bgColor auto="1"/>
        </patternFill>
      </fill>
    </dxf>
    <dxf>
      <font>
        <color auto="1"/>
      </font>
    </dxf>
    <dxf>
      <fill>
        <patternFill>
          <bgColor theme="1"/>
        </patternFill>
      </fill>
    </dxf>
    <dxf>
      <font>
        <color theme="0"/>
      </font>
    </dxf>
    <dxf>
      <fill>
        <patternFill patternType="none">
          <bgColor auto="1"/>
        </patternFill>
      </fill>
    </dxf>
    <dxf>
      <font>
        <color theme="0"/>
      </font>
    </dxf>
    <dxf>
      <fill>
        <patternFill patternType="none">
          <bgColor auto="1"/>
        </patternFill>
      </fill>
    </dxf>
    <dxf>
      <font>
        <color theme="0"/>
      </font>
    </dxf>
    <dxf>
      <fill>
        <patternFill patternType="none">
          <bgColor auto="1"/>
        </patternFill>
      </fill>
    </dxf>
    <dxf>
      <font>
        <color theme="0"/>
      </font>
    </dxf>
    <dxf>
      <fill>
        <patternFill patternType="none">
          <bgColor auto="1"/>
        </patternFill>
      </fill>
    </dxf>
    <dxf>
      <font>
        <color theme="0"/>
      </font>
    </dxf>
    <dxf>
      <fill>
        <patternFill patternType="none">
          <bgColor auto="1"/>
        </patternFill>
      </fill>
    </dxf>
    <dxf>
      <font>
        <color auto="1"/>
      </font>
    </dxf>
    <dxf>
      <fill>
        <patternFill>
          <bgColor theme="1"/>
        </patternFill>
      </fill>
    </dxf>
    <dxf>
      <font>
        <color auto="1"/>
      </font>
    </dxf>
    <dxf>
      <fill>
        <patternFill>
          <bgColor theme="1"/>
        </patternFill>
      </fill>
    </dxf>
    <dxf>
      <font>
        <color theme="0"/>
      </font>
    </dxf>
    <dxf>
      <fill>
        <patternFill patternType="none">
          <bgColor auto="1"/>
        </patternFill>
      </fill>
    </dxf>
    <dxf>
      <font>
        <color auto="1"/>
      </font>
    </dxf>
    <dxf>
      <fill>
        <patternFill>
          <bgColor theme="1"/>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fill>
        <patternFill patternType="none">
          <bgColor auto="1"/>
        </patternFill>
      </fill>
      <border>
        <left/>
        <right/>
        <top/>
        <bottom/>
        <vertical/>
        <horizontal/>
      </border>
    </dxf>
    <dxf>
      <font>
        <color theme="0"/>
      </font>
      <fill>
        <patternFill patternType="none">
          <bgColor auto="1"/>
        </patternFill>
      </fill>
      <border>
        <left/>
        <right/>
        <top/>
        <bottom/>
      </border>
    </dxf>
    <dxf>
      <font>
        <color theme="0"/>
      </font>
      <fill>
        <patternFill patternType="none">
          <bgColor auto="1"/>
        </patternFill>
      </fill>
    </dxf>
    <dxf>
      <font>
        <color theme="0"/>
      </font>
      <fill>
        <patternFill patternType="none">
          <bgColor auto="1"/>
        </patternFill>
      </fill>
      <border>
        <left/>
        <right/>
        <top/>
        <bottom/>
        <vertical/>
        <horizontal/>
      </border>
    </dxf>
    <dxf>
      <fill>
        <gradientFill type="path" left="0.5" right="0.5" top="0.5" bottom="0.5">
          <stop position="0">
            <color rgb="FFFF0000"/>
          </stop>
          <stop position="1">
            <color theme="5" tint="0.80001220740379042"/>
          </stop>
        </gradientFill>
      </fill>
      <border>
        <left style="thin">
          <color auto="1"/>
        </left>
        <right style="thin">
          <color auto="1"/>
        </right>
        <top style="thin">
          <color auto="1"/>
        </top>
        <bottom style="thin">
          <color auto="1"/>
        </bottom>
      </border>
    </dxf>
    <dxf>
      <fill>
        <gradientFill degree="90">
          <stop position="0">
            <color theme="5" tint="0.59999389629810485"/>
          </stop>
          <stop position="0.5">
            <color rgb="FFFF0000"/>
          </stop>
          <stop position="1">
            <color theme="5" tint="0.59999389629810485"/>
          </stop>
        </gradientFill>
      </fill>
    </dxf>
    <dxf>
      <fill>
        <gradientFill degree="90">
          <stop position="0">
            <color theme="5" tint="0.59999389629810485"/>
          </stop>
          <stop position="0.5">
            <color rgb="FFFF0000"/>
          </stop>
          <stop position="1">
            <color theme="5" tint="0.59999389629810485"/>
          </stop>
        </gradientFill>
      </fill>
    </dxf>
    <dxf>
      <fill>
        <patternFill>
          <bgColor rgb="FFFF0000"/>
        </patternFill>
      </fill>
    </dxf>
    <dxf>
      <font>
        <color auto="1"/>
      </font>
      <fill>
        <patternFill>
          <bgColor rgb="FFFFFFCC"/>
        </patternFill>
      </fill>
    </dxf>
    <dxf>
      <fill>
        <patternFill>
          <bgColor rgb="FFFF7C80"/>
        </patternFill>
      </fill>
    </dxf>
    <dxf>
      <fill>
        <gradientFill degree="90">
          <stop position="0">
            <color theme="5" tint="0.59999389629810485"/>
          </stop>
          <stop position="0.5">
            <color rgb="FFFF0000"/>
          </stop>
          <stop position="1">
            <color theme="5" tint="0.59999389629810485"/>
          </stop>
        </gradientFill>
      </fill>
    </dxf>
    <dxf>
      <fill>
        <gradientFill degree="90">
          <stop position="0">
            <color theme="5" tint="0.80001220740379042"/>
          </stop>
          <stop position="0.5">
            <color rgb="FFFF0000"/>
          </stop>
          <stop position="1">
            <color theme="5" tint="0.80001220740379042"/>
          </stop>
        </gradientFill>
      </fill>
    </dxf>
    <dxf>
      <font>
        <color theme="0"/>
      </font>
      <fill>
        <patternFill patternType="none">
          <bgColor auto="1"/>
        </patternFill>
      </fill>
      <border>
        <left/>
        <right/>
        <top/>
        <bottom/>
        <vertical/>
        <horizontal/>
      </border>
    </dxf>
    <dxf>
      <fill>
        <gradientFill degree="90">
          <stop position="0">
            <color theme="5" tint="0.59999389629810485"/>
          </stop>
          <stop position="0.5">
            <color rgb="FFFF0000"/>
          </stop>
          <stop position="1">
            <color theme="5" tint="0.59999389629810485"/>
          </stop>
        </gradientFill>
      </fill>
      <border>
        <left style="thin">
          <color auto="1"/>
        </left>
        <right style="thin">
          <color auto="1"/>
        </right>
        <top style="thin">
          <color auto="1"/>
        </top>
        <bottom style="thin">
          <color auto="1"/>
        </bottom>
      </border>
    </dxf>
    <dxf>
      <fill>
        <patternFill>
          <bgColor rgb="FFFF0000"/>
        </patternFill>
      </fill>
    </dxf>
    <dxf>
      <fill>
        <patternFill>
          <bgColor theme="0"/>
        </patternFill>
      </fill>
    </dxf>
  </dxfs>
  <tableStyles count="0" defaultTableStyle="TableStyleMedium2" defaultPivotStyle="PivotStyleLight16"/>
  <colors>
    <mruColors>
      <color rgb="FFFF3300"/>
      <color rgb="FFFF7C80"/>
      <color rgb="FFFFFFCC"/>
      <color rgb="FFFF9B9B"/>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50"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customXml" Target="../customXml/item3.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ctrlProps/ctrlProp1.xml><?xml version="1.0" encoding="utf-8"?>
<formControlPr xmlns="http://schemas.microsoft.com/office/spreadsheetml/2009/9/main" objectType="CheckBox" checked="Checked" fmlaLink="$G$9" lockText="1" noThreeD="1"/>
</file>

<file path=xl/ctrlProps/ctrlProp10.xml><?xml version="1.0" encoding="utf-8"?>
<formControlPr xmlns="http://schemas.microsoft.com/office/spreadsheetml/2009/9/main" objectType="CheckBox" fmlaLink="$C$22" lockText="1" noThreeD="1"/>
</file>

<file path=xl/ctrlProps/ctrlProp11.xml><?xml version="1.0" encoding="utf-8"?>
<formControlPr xmlns="http://schemas.microsoft.com/office/spreadsheetml/2009/9/main" objectType="CheckBox" checked="Checked" fmlaLink="$C$18" lockText="1" noThreeD="1"/>
</file>

<file path=xl/ctrlProps/ctrlProp12.xml><?xml version="1.0" encoding="utf-8"?>
<formControlPr xmlns="http://schemas.microsoft.com/office/spreadsheetml/2009/9/main" objectType="CheckBox" fmlaLink="$C$23" lockText="1" noThreeD="1"/>
</file>

<file path=xl/ctrlProps/ctrlProp13.xml><?xml version="1.0" encoding="utf-8"?>
<formControlPr xmlns="http://schemas.microsoft.com/office/spreadsheetml/2009/9/main" objectType="CheckBox" fmlaLink="$C$20" lockText="1" noThreeD="1"/>
</file>

<file path=xl/ctrlProps/ctrlProp14.xml><?xml version="1.0" encoding="utf-8"?>
<formControlPr xmlns="http://schemas.microsoft.com/office/spreadsheetml/2009/9/main" objectType="CheckBox" fmlaLink="$C$19" lockText="1" noThreeD="1"/>
</file>

<file path=xl/ctrlProps/ctrlProp15.xml><?xml version="1.0" encoding="utf-8"?>
<formControlPr xmlns="http://schemas.microsoft.com/office/spreadsheetml/2009/9/main" objectType="CheckBox" fmlaLink="$C$21" lockText="1" noThreeD="1"/>
</file>

<file path=xl/ctrlProps/ctrlProp16.xml><?xml version="1.0" encoding="utf-8"?>
<formControlPr xmlns="http://schemas.microsoft.com/office/spreadsheetml/2009/9/main" objectType="CheckBox" fmlaLink="$C$24" lockText="1" noThreeD="1"/>
</file>

<file path=xl/ctrlProps/ctrlProp17.xml><?xml version="1.0" encoding="utf-8"?>
<formControlPr xmlns="http://schemas.microsoft.com/office/spreadsheetml/2009/9/main" objectType="CheckBox" fmlaLink="$F$22" lockText="1" noThreeD="1"/>
</file>

<file path=xl/ctrlProps/ctrlProp18.xml><?xml version="1.0" encoding="utf-8"?>
<formControlPr xmlns="http://schemas.microsoft.com/office/spreadsheetml/2009/9/main" objectType="CheckBox" checked="Checked" fmlaLink="$F$18" lockText="1" noThreeD="1"/>
</file>

<file path=xl/ctrlProps/ctrlProp19.xml><?xml version="1.0" encoding="utf-8"?>
<formControlPr xmlns="http://schemas.microsoft.com/office/spreadsheetml/2009/9/main" objectType="CheckBox" fmlaLink="$F$23" lockText="1" noThreeD="1"/>
</file>

<file path=xl/ctrlProps/ctrlProp2.xml><?xml version="1.0" encoding="utf-8"?>
<formControlPr xmlns="http://schemas.microsoft.com/office/spreadsheetml/2009/9/main" objectType="CheckBox" checked="Checked" fmlaLink="$G$8" lockText="1" noThreeD="1"/>
</file>

<file path=xl/ctrlProps/ctrlProp20.xml><?xml version="1.0" encoding="utf-8"?>
<formControlPr xmlns="http://schemas.microsoft.com/office/spreadsheetml/2009/9/main" objectType="CheckBox" fmlaLink="$F$20" lockText="1" noThreeD="1"/>
</file>

<file path=xl/ctrlProps/ctrlProp21.xml><?xml version="1.0" encoding="utf-8"?>
<formControlPr xmlns="http://schemas.microsoft.com/office/spreadsheetml/2009/9/main" objectType="CheckBox" fmlaLink="$F$19" lockText="1" noThreeD="1"/>
</file>

<file path=xl/ctrlProps/ctrlProp22.xml><?xml version="1.0" encoding="utf-8"?>
<formControlPr xmlns="http://schemas.microsoft.com/office/spreadsheetml/2009/9/main" objectType="CheckBox" fmlaLink="$F$21" lockText="1" noThreeD="1"/>
</file>

<file path=xl/ctrlProps/ctrlProp23.xml><?xml version="1.0" encoding="utf-8"?>
<formControlPr xmlns="http://schemas.microsoft.com/office/spreadsheetml/2009/9/main" objectType="CheckBox" fmlaLink="$F$24" lockText="1" noThreeD="1"/>
</file>

<file path=xl/ctrlProps/ctrlProp24.xml><?xml version="1.0" encoding="utf-8"?>
<formControlPr xmlns="http://schemas.microsoft.com/office/spreadsheetml/2009/9/main" objectType="Radio" checked="Checked" firstButton="1" fmlaLink="$B$7"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CheckBox" checked="Checked" fmlaLink="$B$10" lockText="1" noThreeD="1"/>
</file>

<file path=xl/ctrlProps/ctrlProp27.xml><?xml version="1.0" encoding="utf-8"?>
<formControlPr xmlns="http://schemas.microsoft.com/office/spreadsheetml/2009/9/main" objectType="Radio" checked="Checked" firstButton="1" fmlaLink="$B$5"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checked="Checked" firstButton="1" fmlaLink="$B$5" lockText="1" noThreeD="1"/>
</file>

<file path=xl/ctrlProps/ctrlProp3.xml><?xml version="1.0" encoding="utf-8"?>
<formControlPr xmlns="http://schemas.microsoft.com/office/spreadsheetml/2009/9/main" objectType="CheckBox" checked="Checked" fmlaLink="$G$10"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checked="Checked" firstButton="1" fmlaLink="$B$5"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checked="Checked" firstButton="1" fmlaLink="$B$5"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checked="Checked" firstButton="1" fmlaLink="$B$5"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checked="Checked" firstButton="1" fmlaLink="$B$5"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checked="Checked" firstButton="1" fmlaLink="$B$5" lockText="1" noThreeD="1"/>
</file>

<file path=xl/ctrlProps/ctrlProp4.xml><?xml version="1.0" encoding="utf-8"?>
<formControlPr xmlns="http://schemas.microsoft.com/office/spreadsheetml/2009/9/main" objectType="CheckBox" checked="Checked" fmlaLink="$G$11" lockText="1"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Radio" checked="Checked" firstButton="1" fmlaLink="$B$5"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checked="Checked" firstButton="1" fmlaLink="$B$5"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Radio" checked="Checked" firstButton="1" fmlaLink="$B$5"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checked="Checked" firstButton="1" fmlaLink="$B$5"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checked="Checked" firstButton="1" fmlaLink="$B$5" lockText="1" noThreeD="1"/>
</file>

<file path=xl/ctrlProps/ctrlProp5.xml><?xml version="1.0" encoding="utf-8"?>
<formControlPr xmlns="http://schemas.microsoft.com/office/spreadsheetml/2009/9/main" objectType="CheckBox" checked="Checked" fmlaLink="$G$12"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checked="Checked" firstButton="1" fmlaLink="$B$5"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checked="Checked" firstButton="1" fmlaLink="$B$5"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checked="Checked" firstButton="1" fmlaLink="$B$5"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Radio" checked="Checked" firstButton="1" fmlaLink="$B$5" lockText="1" noThreeD="1"/>
</file>

<file path=xl/ctrlProps/ctrlProp6.xml><?xml version="1.0" encoding="utf-8"?>
<formControlPr xmlns="http://schemas.microsoft.com/office/spreadsheetml/2009/9/main" objectType="CheckBox" checked="Checked" fmlaLink="$G$14" lockText="1"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checked="Checked" firstButton="1" fmlaLink="$B$5"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Radio" checked="Checked" firstButton="1" fmlaLink="$B$5"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Radio" checked="Checked" firstButton="1" fmlaLink="$B$5"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CheckBox" checked="Checked" fmlaLink="$G$15"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Radio" checked="Checked" firstButton="1" fmlaLink="$B$5"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Radio" checked="Checked" firstButton="1" fmlaLink="$B$5" lockText="1" noThreeD="1"/>
</file>

<file path=xl/ctrlProps/ctrlProp75.xml><?xml version="1.0" encoding="utf-8"?>
<formControlPr xmlns="http://schemas.microsoft.com/office/spreadsheetml/2009/9/main" objectType="Radio"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Radio" checked="Checked" firstButton="1" fmlaLink="$B$5"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CheckBox" checked="Checked" fmlaLink="$G$16" lockText="1" noThreeD="1"/>
</file>

<file path=xl/ctrlProps/ctrlProp80.xml><?xml version="1.0" encoding="utf-8"?>
<formControlPr xmlns="http://schemas.microsoft.com/office/spreadsheetml/2009/9/main" objectType="Radio" checked="Checked" firstButton="1" fmlaLink="$B$5" lockText="1" noThreeD="1"/>
</file>

<file path=xl/ctrlProps/ctrlProp81.xml><?xml version="1.0" encoding="utf-8"?>
<formControlPr xmlns="http://schemas.microsoft.com/office/spreadsheetml/2009/9/main" objectType="Radio" lockText="1"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Radio" checked="Checked" firstButton="1" fmlaLink="$B$5" lockText="1" noThreeD="1"/>
</file>

<file path=xl/ctrlProps/ctrlProp84.xml><?xml version="1.0" encoding="utf-8"?>
<formControlPr xmlns="http://schemas.microsoft.com/office/spreadsheetml/2009/9/main" objectType="Radio" lockText="1" noThreeD="1"/>
</file>

<file path=xl/ctrlProps/ctrlProp85.xml><?xml version="1.0" encoding="utf-8"?>
<formControlPr xmlns="http://schemas.microsoft.com/office/spreadsheetml/2009/9/main" objectType="Radio" lockText="1" noThreeD="1"/>
</file>

<file path=xl/ctrlProps/ctrlProp86.xml><?xml version="1.0" encoding="utf-8"?>
<formControlPr xmlns="http://schemas.microsoft.com/office/spreadsheetml/2009/9/main" objectType="Radio" checked="Checked" firstButton="1" fmlaLink="$B$5" lockText="1" noThreeD="1"/>
</file>

<file path=xl/ctrlProps/ctrlProp87.xml><?xml version="1.0" encoding="utf-8"?>
<formControlPr xmlns="http://schemas.microsoft.com/office/spreadsheetml/2009/9/main" objectType="Radio" lockText="1" noThreeD="1"/>
</file>

<file path=xl/ctrlProps/ctrlProp88.xml><?xml version="1.0" encoding="utf-8"?>
<formControlPr xmlns="http://schemas.microsoft.com/office/spreadsheetml/2009/9/main" objectType="Radio" lockText="1" noThreeD="1"/>
</file>

<file path=xl/ctrlProps/ctrlProp89.xml><?xml version="1.0" encoding="utf-8"?>
<formControlPr xmlns="http://schemas.microsoft.com/office/spreadsheetml/2009/9/main" objectType="Radio" checked="Checked" firstButton="1" fmlaLink="$B$5" lockText="1" noThreeD="1"/>
</file>

<file path=xl/ctrlProps/ctrlProp9.xml><?xml version="1.0" encoding="utf-8"?>
<formControlPr xmlns="http://schemas.microsoft.com/office/spreadsheetml/2009/9/main" objectType="CheckBox" checked="Checked" fmlaLink="$G$17" lockText="1" noThreeD="1"/>
</file>

<file path=xl/ctrlProps/ctrlProp90.xml><?xml version="1.0" encoding="utf-8"?>
<formControlPr xmlns="http://schemas.microsoft.com/office/spreadsheetml/2009/9/main" objectType="Radio" lockText="1" noThreeD="1"/>
</file>

<file path=xl/ctrlProps/ctrlProp91.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jpeg"/><Relationship Id="rId1" Type="http://schemas.openxmlformats.org/officeDocument/2006/relationships/hyperlink" Target="#'Extra land'!A1"/><Relationship Id="rId4" Type="http://schemas.openxmlformats.org/officeDocument/2006/relationships/image" Target="../media/image3.png"/></Relationships>
</file>

<file path=xl/drawings/_rels/drawing10.xml.rels><?xml version="1.0" encoding="UTF-8" standalone="yes"?>
<Relationships xmlns="http://schemas.openxmlformats.org/package/2006/relationships"><Relationship Id="rId1" Type="http://schemas.openxmlformats.org/officeDocument/2006/relationships/hyperlink" Target="#Voer!A1"/></Relationships>
</file>

<file path=xl/drawings/_rels/drawing11.xml.rels><?xml version="1.0" encoding="UTF-8" standalone="yes"?>
<Relationships xmlns="http://schemas.openxmlformats.org/package/2006/relationships"><Relationship Id="rId1" Type="http://schemas.openxmlformats.org/officeDocument/2006/relationships/hyperlink" Target="#Voer!A1"/></Relationships>
</file>

<file path=xl/drawings/_rels/drawing12.xml.rels><?xml version="1.0" encoding="UTF-8" standalone="yes"?>
<Relationships xmlns="http://schemas.openxmlformats.org/package/2006/relationships"><Relationship Id="rId1" Type="http://schemas.openxmlformats.org/officeDocument/2006/relationships/hyperlink" Target="#Voer!A1"/></Relationships>
</file>

<file path=xl/drawings/_rels/drawing13.xml.rels><?xml version="1.0" encoding="UTF-8" standalone="yes"?>
<Relationships xmlns="http://schemas.openxmlformats.org/package/2006/relationships"><Relationship Id="rId1" Type="http://schemas.openxmlformats.org/officeDocument/2006/relationships/hyperlink" Target="#Voer!A1"/></Relationships>
</file>

<file path=xl/drawings/_rels/drawing14.xml.rels><?xml version="1.0" encoding="UTF-8" standalone="yes"?>
<Relationships xmlns="http://schemas.openxmlformats.org/package/2006/relationships"><Relationship Id="rId3" Type="http://schemas.openxmlformats.org/officeDocument/2006/relationships/image" Target="../media/image5.png"/><Relationship Id="rId2" Type="http://schemas.microsoft.com/office/2007/relationships/hdphoto" Target="../media/hdphoto1.wdp"/><Relationship Id="rId1" Type="http://schemas.openxmlformats.org/officeDocument/2006/relationships/image" Target="../media/image4.png"/><Relationship Id="rId4" Type="http://schemas.openxmlformats.org/officeDocument/2006/relationships/hyperlink" Target="#Bouwplan!A1"/></Relationships>
</file>

<file path=xl/drawings/_rels/drawing15.xml.rels><?xml version="1.0" encoding="UTF-8" standalone="yes"?>
<Relationships xmlns="http://schemas.openxmlformats.org/package/2006/relationships"><Relationship Id="rId2" Type="http://schemas.openxmlformats.org/officeDocument/2006/relationships/hyperlink" Target="#Bouwplan!A1"/><Relationship Id="rId1" Type="http://schemas.openxmlformats.org/officeDocument/2006/relationships/image" Target="../media/image5.png"/></Relationships>
</file>

<file path=xl/drawings/_rels/drawing16.xml.rels><?xml version="1.0" encoding="UTF-8" standalone="yes"?>
<Relationships xmlns="http://schemas.openxmlformats.org/package/2006/relationships"><Relationship Id="rId2" Type="http://schemas.openxmlformats.org/officeDocument/2006/relationships/hyperlink" Target="#Bouwplan!A1"/><Relationship Id="rId1" Type="http://schemas.openxmlformats.org/officeDocument/2006/relationships/image" Target="../media/image5.png"/></Relationships>
</file>

<file path=xl/drawings/_rels/drawing17.xml.rels><?xml version="1.0" encoding="UTF-8" standalone="yes"?>
<Relationships xmlns="http://schemas.openxmlformats.org/package/2006/relationships"><Relationship Id="rId2" Type="http://schemas.openxmlformats.org/officeDocument/2006/relationships/hyperlink" Target="#Bouwplan!A1"/><Relationship Id="rId1" Type="http://schemas.openxmlformats.org/officeDocument/2006/relationships/image" Target="../media/image5.png"/></Relationships>
</file>

<file path=xl/drawings/_rels/drawing18.xml.rels><?xml version="1.0" encoding="UTF-8" standalone="yes"?>
<Relationships xmlns="http://schemas.openxmlformats.org/package/2006/relationships"><Relationship Id="rId2" Type="http://schemas.openxmlformats.org/officeDocument/2006/relationships/hyperlink" Target="#Bouwplan!A1"/><Relationship Id="rId1" Type="http://schemas.openxmlformats.org/officeDocument/2006/relationships/image" Target="../media/image5.png"/></Relationships>
</file>

<file path=xl/drawings/_rels/drawing19.xml.rels><?xml version="1.0" encoding="UTF-8" standalone="yes"?>
<Relationships xmlns="http://schemas.openxmlformats.org/package/2006/relationships"><Relationship Id="rId2" Type="http://schemas.openxmlformats.org/officeDocument/2006/relationships/hyperlink" Target="#Bouwplan!A1"/><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hyperlink" Target="#Bouwplan!A1"/><Relationship Id="rId7" Type="http://schemas.openxmlformats.org/officeDocument/2006/relationships/hyperlink" Target="#Resultaat!A1"/><Relationship Id="rId2" Type="http://schemas.openxmlformats.org/officeDocument/2006/relationships/hyperlink" Target="#'Extra land'!A1"/><Relationship Id="rId1" Type="http://schemas.openxmlformats.org/officeDocument/2006/relationships/hyperlink" Target="#Inleiding!A1"/><Relationship Id="rId6" Type="http://schemas.openxmlformats.org/officeDocument/2006/relationships/hyperlink" Target="#'Toegerekende kosten koe'!A1"/><Relationship Id="rId5" Type="http://schemas.openxmlformats.org/officeDocument/2006/relationships/hyperlink" Target="#Melkproductie!A1"/><Relationship Id="rId4" Type="http://schemas.openxmlformats.org/officeDocument/2006/relationships/hyperlink" Target="#Voer!A1"/></Relationships>
</file>

<file path=xl/drawings/_rels/drawing20.xml.rels><?xml version="1.0" encoding="UTF-8" standalone="yes"?>
<Relationships xmlns="http://schemas.openxmlformats.org/package/2006/relationships"><Relationship Id="rId2" Type="http://schemas.openxmlformats.org/officeDocument/2006/relationships/hyperlink" Target="#Bouwplan!A1"/><Relationship Id="rId1" Type="http://schemas.openxmlformats.org/officeDocument/2006/relationships/image" Target="../media/image5.png"/></Relationships>
</file>

<file path=xl/drawings/_rels/drawing21.xml.rels><?xml version="1.0" encoding="UTF-8" standalone="yes"?>
<Relationships xmlns="http://schemas.openxmlformats.org/package/2006/relationships"><Relationship Id="rId2" Type="http://schemas.openxmlformats.org/officeDocument/2006/relationships/hyperlink" Target="#Bouwplan!A1"/><Relationship Id="rId1" Type="http://schemas.openxmlformats.org/officeDocument/2006/relationships/image" Target="../media/image5.png"/></Relationships>
</file>

<file path=xl/drawings/_rels/drawing22.xml.rels><?xml version="1.0" encoding="UTF-8" standalone="yes"?>
<Relationships xmlns="http://schemas.openxmlformats.org/package/2006/relationships"><Relationship Id="rId2" Type="http://schemas.openxmlformats.org/officeDocument/2006/relationships/hyperlink" Target="#Bouwplan!A1"/><Relationship Id="rId1" Type="http://schemas.openxmlformats.org/officeDocument/2006/relationships/image" Target="../media/image5.png"/></Relationships>
</file>

<file path=xl/drawings/_rels/drawing23.xml.rels><?xml version="1.0" encoding="UTF-8" standalone="yes"?>
<Relationships xmlns="http://schemas.openxmlformats.org/package/2006/relationships"><Relationship Id="rId1" Type="http://schemas.openxmlformats.org/officeDocument/2006/relationships/hyperlink" Target="#Bouwplan!A1"/></Relationships>
</file>

<file path=xl/drawings/_rels/drawing24.xml.rels><?xml version="1.0" encoding="UTF-8" standalone="yes"?>
<Relationships xmlns="http://schemas.openxmlformats.org/package/2006/relationships"><Relationship Id="rId2" Type="http://schemas.openxmlformats.org/officeDocument/2006/relationships/hyperlink" Target="#Bouwplan!A1"/><Relationship Id="rId1" Type="http://schemas.openxmlformats.org/officeDocument/2006/relationships/image" Target="../media/image5.png"/></Relationships>
</file>

<file path=xl/drawings/_rels/drawing25.xml.rels><?xml version="1.0" encoding="UTF-8" standalone="yes"?>
<Relationships xmlns="http://schemas.openxmlformats.org/package/2006/relationships"><Relationship Id="rId2" Type="http://schemas.openxmlformats.org/officeDocument/2006/relationships/hyperlink" Target="#Bouwplan!A1"/><Relationship Id="rId1" Type="http://schemas.openxmlformats.org/officeDocument/2006/relationships/image" Target="../media/image5.png"/></Relationships>
</file>

<file path=xl/drawings/_rels/drawing26.xml.rels><?xml version="1.0" encoding="UTF-8" standalone="yes"?>
<Relationships xmlns="http://schemas.openxmlformats.org/package/2006/relationships"><Relationship Id="rId2" Type="http://schemas.openxmlformats.org/officeDocument/2006/relationships/hyperlink" Target="#Bouwplan!A1"/><Relationship Id="rId1" Type="http://schemas.openxmlformats.org/officeDocument/2006/relationships/image" Target="../media/image5.png"/></Relationships>
</file>

<file path=xl/drawings/_rels/drawing27.xml.rels><?xml version="1.0" encoding="UTF-8" standalone="yes"?>
<Relationships xmlns="http://schemas.openxmlformats.org/package/2006/relationships"><Relationship Id="rId2" Type="http://schemas.openxmlformats.org/officeDocument/2006/relationships/hyperlink" Target="#Bouwplan!A1"/><Relationship Id="rId1" Type="http://schemas.openxmlformats.org/officeDocument/2006/relationships/image" Target="../media/image5.png"/></Relationships>
</file>

<file path=xl/drawings/_rels/drawing28.xml.rels><?xml version="1.0" encoding="UTF-8" standalone="yes"?>
<Relationships xmlns="http://schemas.openxmlformats.org/package/2006/relationships"><Relationship Id="rId1" Type="http://schemas.openxmlformats.org/officeDocument/2006/relationships/hyperlink" Target="#Bouwplan!A1"/></Relationships>
</file>

<file path=xl/drawings/_rels/drawing29.xml.rels><?xml version="1.0" encoding="UTF-8" standalone="yes"?>
<Relationships xmlns="http://schemas.openxmlformats.org/package/2006/relationships"><Relationship Id="rId2" Type="http://schemas.openxmlformats.org/officeDocument/2006/relationships/hyperlink" Target="#Bouwplan!A1"/><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hyperlink" Target="#Bouwplan!A1"/><Relationship Id="rId7" Type="http://schemas.openxmlformats.org/officeDocument/2006/relationships/hyperlink" Target="#Resultaat!A1"/><Relationship Id="rId2" Type="http://schemas.openxmlformats.org/officeDocument/2006/relationships/hyperlink" Target="#'Extra land'!A1"/><Relationship Id="rId1" Type="http://schemas.openxmlformats.org/officeDocument/2006/relationships/hyperlink" Target="#Inleiding!A1"/><Relationship Id="rId6" Type="http://schemas.openxmlformats.org/officeDocument/2006/relationships/hyperlink" Target="#'Toegerekende kosten koe'!A1"/><Relationship Id="rId5" Type="http://schemas.openxmlformats.org/officeDocument/2006/relationships/hyperlink" Target="#Melkproductie!A1"/><Relationship Id="rId4" Type="http://schemas.openxmlformats.org/officeDocument/2006/relationships/hyperlink" Target="#Voer!A1"/></Relationships>
</file>

<file path=xl/drawings/_rels/drawing30.xml.rels><?xml version="1.0" encoding="UTF-8" standalone="yes"?>
<Relationships xmlns="http://schemas.openxmlformats.org/package/2006/relationships"><Relationship Id="rId2" Type="http://schemas.openxmlformats.org/officeDocument/2006/relationships/hyperlink" Target="#Bouwplan!A1"/><Relationship Id="rId1" Type="http://schemas.openxmlformats.org/officeDocument/2006/relationships/image" Target="../media/image5.png"/></Relationships>
</file>

<file path=xl/drawings/_rels/drawing31.xml.rels><?xml version="1.0" encoding="UTF-8" standalone="yes"?>
<Relationships xmlns="http://schemas.openxmlformats.org/package/2006/relationships"><Relationship Id="rId2" Type="http://schemas.openxmlformats.org/officeDocument/2006/relationships/hyperlink" Target="#Bouwplan!A1"/><Relationship Id="rId1" Type="http://schemas.openxmlformats.org/officeDocument/2006/relationships/image" Target="../media/image5.png"/></Relationships>
</file>

<file path=xl/drawings/_rels/drawing32.xml.rels><?xml version="1.0" encoding="UTF-8" standalone="yes"?>
<Relationships xmlns="http://schemas.openxmlformats.org/package/2006/relationships"><Relationship Id="rId2" Type="http://schemas.openxmlformats.org/officeDocument/2006/relationships/hyperlink" Target="#Bouwplan!A1"/><Relationship Id="rId1" Type="http://schemas.openxmlformats.org/officeDocument/2006/relationships/image" Target="../media/image5.png"/></Relationships>
</file>

<file path=xl/drawings/_rels/drawing33.xml.rels><?xml version="1.0" encoding="UTF-8" standalone="yes"?>
<Relationships xmlns="http://schemas.openxmlformats.org/package/2006/relationships"><Relationship Id="rId2" Type="http://schemas.openxmlformats.org/officeDocument/2006/relationships/hyperlink" Target="#Bouwplan!A1"/><Relationship Id="rId1" Type="http://schemas.openxmlformats.org/officeDocument/2006/relationships/image" Target="../media/image5.png"/></Relationships>
</file>

<file path=xl/drawings/_rels/drawing34.xml.rels><?xml version="1.0" encoding="UTF-8" standalone="yes"?>
<Relationships xmlns="http://schemas.openxmlformats.org/package/2006/relationships"><Relationship Id="rId2" Type="http://schemas.openxmlformats.org/officeDocument/2006/relationships/hyperlink" Target="#Bouwplan!A1"/><Relationship Id="rId1" Type="http://schemas.openxmlformats.org/officeDocument/2006/relationships/image" Target="../media/image5.png"/></Relationships>
</file>

<file path=xl/drawings/_rels/drawing35.xml.rels><?xml version="1.0" encoding="UTF-8" standalone="yes"?>
<Relationships xmlns="http://schemas.openxmlformats.org/package/2006/relationships"><Relationship Id="rId2" Type="http://schemas.openxmlformats.org/officeDocument/2006/relationships/hyperlink" Target="#Bouwplan!A1"/><Relationship Id="rId1" Type="http://schemas.openxmlformats.org/officeDocument/2006/relationships/image" Target="../media/image5.png"/></Relationships>
</file>

<file path=xl/drawings/_rels/drawing36.xml.rels><?xml version="1.0" encoding="UTF-8" standalone="yes"?>
<Relationships xmlns="http://schemas.openxmlformats.org/package/2006/relationships"><Relationship Id="rId2" Type="http://schemas.openxmlformats.org/officeDocument/2006/relationships/hyperlink" Target="#Bouwplan!A1"/><Relationship Id="rId1" Type="http://schemas.openxmlformats.org/officeDocument/2006/relationships/image" Target="../media/image5.png"/></Relationships>
</file>

<file path=xl/drawings/_rels/drawing37.xml.rels><?xml version="1.0" encoding="UTF-8" standalone="yes"?>
<Relationships xmlns="http://schemas.openxmlformats.org/package/2006/relationships"><Relationship Id="rId2" Type="http://schemas.openxmlformats.org/officeDocument/2006/relationships/hyperlink" Target="#Bouwplan!A1"/><Relationship Id="rId1" Type="http://schemas.openxmlformats.org/officeDocument/2006/relationships/image" Target="../media/image5.png"/></Relationships>
</file>

<file path=xl/drawings/_rels/drawing38.xml.rels><?xml version="1.0" encoding="UTF-8" standalone="yes"?>
<Relationships xmlns="http://schemas.openxmlformats.org/package/2006/relationships"><Relationship Id="rId1" Type="http://schemas.openxmlformats.org/officeDocument/2006/relationships/hyperlink" Target="#Bouwplan!A1"/></Relationships>
</file>

<file path=xl/drawings/_rels/drawing39.xml.rels><?xml version="1.0" encoding="UTF-8" standalone="yes"?>
<Relationships xmlns="http://schemas.openxmlformats.org/package/2006/relationships"><Relationship Id="rId2" Type="http://schemas.openxmlformats.org/officeDocument/2006/relationships/hyperlink" Target="#Bouwplan!A1"/><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hyperlink" Target="#Bouwplan!A1"/><Relationship Id="rId7" Type="http://schemas.openxmlformats.org/officeDocument/2006/relationships/hyperlink" Target="#Resultaat!A1"/><Relationship Id="rId2" Type="http://schemas.openxmlformats.org/officeDocument/2006/relationships/hyperlink" Target="#'Extra land'!A1"/><Relationship Id="rId1" Type="http://schemas.openxmlformats.org/officeDocument/2006/relationships/hyperlink" Target="#Inleiding!A1"/><Relationship Id="rId6" Type="http://schemas.openxmlformats.org/officeDocument/2006/relationships/hyperlink" Target="#'Toegerekende kosten koe'!A1"/><Relationship Id="rId5" Type="http://schemas.openxmlformats.org/officeDocument/2006/relationships/hyperlink" Target="#Melkproductie!A1"/><Relationship Id="rId4" Type="http://schemas.openxmlformats.org/officeDocument/2006/relationships/hyperlink" Target="#Voer!A1"/></Relationships>
</file>

<file path=xl/drawings/_rels/drawing40.xml.rels><?xml version="1.0" encoding="UTF-8" standalone="yes"?>
<Relationships xmlns="http://schemas.openxmlformats.org/package/2006/relationships"><Relationship Id="rId2" Type="http://schemas.openxmlformats.org/officeDocument/2006/relationships/hyperlink" Target="#Bouwplan!A1"/><Relationship Id="rId1" Type="http://schemas.openxmlformats.org/officeDocument/2006/relationships/image" Target="../media/image5.png"/></Relationships>
</file>

<file path=xl/drawings/_rels/drawing41.xml.rels><?xml version="1.0" encoding="UTF-8" standalone="yes"?>
<Relationships xmlns="http://schemas.openxmlformats.org/package/2006/relationships"><Relationship Id="rId2" Type="http://schemas.openxmlformats.org/officeDocument/2006/relationships/hyperlink" Target="#Bouwplan!A1"/><Relationship Id="rId1" Type="http://schemas.openxmlformats.org/officeDocument/2006/relationships/image" Target="../media/image5.png"/></Relationships>
</file>

<file path=xl/drawings/_rels/drawing42.xml.rels><?xml version="1.0" encoding="UTF-8" standalone="yes"?>
<Relationships xmlns="http://schemas.openxmlformats.org/package/2006/relationships"><Relationship Id="rId2" Type="http://schemas.openxmlformats.org/officeDocument/2006/relationships/hyperlink" Target="#Bouwplan!A1"/><Relationship Id="rId1" Type="http://schemas.openxmlformats.org/officeDocument/2006/relationships/image" Target="../media/image5.png"/></Relationships>
</file>

<file path=xl/drawings/_rels/drawing43.xml.rels><?xml version="1.0" encoding="UTF-8" standalone="yes"?>
<Relationships xmlns="http://schemas.openxmlformats.org/package/2006/relationships"><Relationship Id="rId1" Type="http://schemas.openxmlformats.org/officeDocument/2006/relationships/hyperlink" Target="#Bouwplan!A1"/></Relationships>
</file>

<file path=xl/drawings/_rels/drawing5.xml.rels><?xml version="1.0" encoding="UTF-8" standalone="yes"?>
<Relationships xmlns="http://schemas.openxmlformats.org/package/2006/relationships"><Relationship Id="rId3" Type="http://schemas.openxmlformats.org/officeDocument/2006/relationships/hyperlink" Target="#'Extra land'!A1"/><Relationship Id="rId7" Type="http://schemas.openxmlformats.org/officeDocument/2006/relationships/hyperlink" Target="#'Toegerekende kosten koe'!A1"/><Relationship Id="rId2" Type="http://schemas.openxmlformats.org/officeDocument/2006/relationships/hyperlink" Target="#Inleiding!A1"/><Relationship Id="rId1" Type="http://schemas.openxmlformats.org/officeDocument/2006/relationships/hyperlink" Target="#Resultaat!A1"/><Relationship Id="rId6" Type="http://schemas.openxmlformats.org/officeDocument/2006/relationships/hyperlink" Target="#Melkproductie!A1"/><Relationship Id="rId5" Type="http://schemas.openxmlformats.org/officeDocument/2006/relationships/hyperlink" Target="#Voer!A1"/><Relationship Id="rId4" Type="http://schemas.openxmlformats.org/officeDocument/2006/relationships/hyperlink" Target="#Bouwplan!A1"/></Relationships>
</file>

<file path=xl/drawings/_rels/drawing6.xml.rels><?xml version="1.0" encoding="UTF-8" standalone="yes"?>
<Relationships xmlns="http://schemas.openxmlformats.org/package/2006/relationships"><Relationship Id="rId3" Type="http://schemas.openxmlformats.org/officeDocument/2006/relationships/hyperlink" Target="#'Extra land'!A1"/><Relationship Id="rId7" Type="http://schemas.openxmlformats.org/officeDocument/2006/relationships/hyperlink" Target="#'Toegerekende kosten koe'!A1"/><Relationship Id="rId2" Type="http://schemas.openxmlformats.org/officeDocument/2006/relationships/hyperlink" Target="#Inleiding!A1"/><Relationship Id="rId1" Type="http://schemas.openxmlformats.org/officeDocument/2006/relationships/hyperlink" Target="#Resultaat!A1"/><Relationship Id="rId6" Type="http://schemas.openxmlformats.org/officeDocument/2006/relationships/hyperlink" Target="#Melkproductie!A1"/><Relationship Id="rId5" Type="http://schemas.openxmlformats.org/officeDocument/2006/relationships/hyperlink" Target="#Voer!A1"/><Relationship Id="rId4" Type="http://schemas.openxmlformats.org/officeDocument/2006/relationships/hyperlink" Target="#Bouwplan!A1"/></Relationships>
</file>

<file path=xl/drawings/_rels/drawing7.xml.rels><?xml version="1.0" encoding="UTF-8" standalone="yes"?>
<Relationships xmlns="http://schemas.openxmlformats.org/package/2006/relationships"><Relationship Id="rId3" Type="http://schemas.openxmlformats.org/officeDocument/2006/relationships/hyperlink" Target="#Bouwplan!A1"/><Relationship Id="rId7" Type="http://schemas.openxmlformats.org/officeDocument/2006/relationships/hyperlink" Target="#Resultaat!A1"/><Relationship Id="rId2" Type="http://schemas.openxmlformats.org/officeDocument/2006/relationships/hyperlink" Target="#'Extra land'!A1"/><Relationship Id="rId1" Type="http://schemas.openxmlformats.org/officeDocument/2006/relationships/hyperlink" Target="#Inleiding!A1"/><Relationship Id="rId6" Type="http://schemas.openxmlformats.org/officeDocument/2006/relationships/hyperlink" Target="#'Toegerekende kosten koe'!A1"/><Relationship Id="rId5" Type="http://schemas.openxmlformats.org/officeDocument/2006/relationships/hyperlink" Target="#Melkproductie!A1"/><Relationship Id="rId4" Type="http://schemas.openxmlformats.org/officeDocument/2006/relationships/hyperlink" Target="#Voer!A1"/></Relationships>
</file>

<file path=xl/drawings/_rels/drawing8.xml.rels><?xml version="1.0" encoding="UTF-8" standalone="yes"?>
<Relationships xmlns="http://schemas.openxmlformats.org/package/2006/relationships"><Relationship Id="rId1" Type="http://schemas.openxmlformats.org/officeDocument/2006/relationships/hyperlink" Target="#'Toegerekende kosten koe'!A1"/></Relationships>
</file>

<file path=xl/drawings/_rels/drawing9.xml.rels><?xml version="1.0" encoding="UTF-8" standalone="yes"?>
<Relationships xmlns="http://schemas.openxmlformats.org/package/2006/relationships"><Relationship Id="rId1" Type="http://schemas.openxmlformats.org/officeDocument/2006/relationships/hyperlink" Target="#Voer!A1"/></Relationships>
</file>

<file path=xl/drawings/drawing1.xml><?xml version="1.0" encoding="utf-8"?>
<xdr:wsDr xmlns:xdr="http://schemas.openxmlformats.org/drawingml/2006/spreadsheetDrawing" xmlns:a="http://schemas.openxmlformats.org/drawingml/2006/main">
  <xdr:twoCellAnchor>
    <xdr:from>
      <xdr:col>13</xdr:col>
      <xdr:colOff>293686</xdr:colOff>
      <xdr:row>1</xdr:row>
      <xdr:rowOff>31750</xdr:rowOff>
    </xdr:from>
    <xdr:to>
      <xdr:col>14</xdr:col>
      <xdr:colOff>511739</xdr:colOff>
      <xdr:row>3</xdr:row>
      <xdr:rowOff>152400</xdr:rowOff>
    </xdr:to>
    <xdr:sp macro="" textlink="">
      <xdr:nvSpPr>
        <xdr:cNvPr id="7" name="Pijl: rechts 6">
          <a:hlinkClick xmlns:r="http://schemas.openxmlformats.org/officeDocument/2006/relationships" r:id="rId1"/>
          <a:extLst>
            <a:ext uri="{FF2B5EF4-FFF2-40B4-BE49-F238E27FC236}">
              <a16:creationId xmlns:a16="http://schemas.microsoft.com/office/drawing/2014/main" id="{00000000-0008-0000-0000-000007000000}"/>
            </a:ext>
          </a:extLst>
        </xdr:cNvPr>
        <xdr:cNvSpPr/>
      </xdr:nvSpPr>
      <xdr:spPr>
        <a:xfrm>
          <a:off x="7667624" y="222250"/>
          <a:ext cx="980053" cy="501650"/>
        </a:xfrm>
        <a:prstGeom prst="rightArrow">
          <a:avLst/>
        </a:prstGeom>
      </xdr:spPr>
      <xdr:style>
        <a:lnRef idx="0">
          <a:schemeClr val="dk1"/>
        </a:lnRef>
        <a:fillRef idx="3">
          <a:schemeClr val="dk1"/>
        </a:fillRef>
        <a:effectRef idx="3">
          <a:schemeClr val="dk1"/>
        </a:effectRef>
        <a:fontRef idx="minor">
          <a:schemeClr val="lt1"/>
        </a:fontRef>
      </xdr:style>
      <xdr:txBody>
        <a:bodyPr vertOverflow="clip" horzOverflow="clip" rtlCol="0" anchor="t"/>
        <a:lstStyle/>
        <a:p>
          <a:pPr algn="l"/>
          <a:endParaRPr lang="nl-NL" sz="1100"/>
        </a:p>
      </xdr:txBody>
    </xdr:sp>
    <xdr:clientData/>
  </xdr:twoCellAnchor>
  <xdr:twoCellAnchor>
    <xdr:from>
      <xdr:col>13</xdr:col>
      <xdr:colOff>1413</xdr:colOff>
      <xdr:row>1</xdr:row>
      <xdr:rowOff>136552</xdr:rowOff>
    </xdr:from>
    <xdr:to>
      <xdr:col>15</xdr:col>
      <xdr:colOff>23334</xdr:colOff>
      <xdr:row>3</xdr:row>
      <xdr:rowOff>38099</xdr:rowOff>
    </xdr:to>
    <xdr:sp macro="" textlink="">
      <xdr:nvSpPr>
        <xdr:cNvPr id="8" name="Tekstvak 2">
          <a:hlinkClick xmlns:r="http://schemas.openxmlformats.org/officeDocument/2006/relationships" r:id="rId1"/>
          <a:extLst>
            <a:ext uri="{FF2B5EF4-FFF2-40B4-BE49-F238E27FC236}">
              <a16:creationId xmlns:a16="http://schemas.microsoft.com/office/drawing/2014/main" id="{00000000-0008-0000-0000-000008000000}"/>
            </a:ext>
          </a:extLst>
        </xdr:cNvPr>
        <xdr:cNvSpPr txBox="1"/>
      </xdr:nvSpPr>
      <xdr:spPr>
        <a:xfrm>
          <a:off x="7375351" y="327052"/>
          <a:ext cx="1474483" cy="282547"/>
        </a:xfrm>
        <a:prstGeom prst="rect">
          <a:avLst/>
        </a:prstGeom>
        <a:noFill/>
        <a:ln>
          <a:noFill/>
        </a:ln>
      </xdr:spPr>
      <xdr:style>
        <a:lnRef idx="0">
          <a:scrgbClr r="0" g="0" b="0"/>
        </a:lnRef>
        <a:fillRef idx="0">
          <a:scrgbClr r="0" g="0" b="0"/>
        </a:fillRef>
        <a:effectRef idx="0">
          <a:scrgbClr r="0" g="0" b="0"/>
        </a:effectRef>
        <a:fontRef idx="minor">
          <a:schemeClr val="accent2"/>
        </a:fontRef>
      </xdr:style>
      <xdr:txBody>
        <a:bodyPr vertOverflow="clip" horzOverflow="clip" wrap="square" rtlCol="0" anchor="ctr"/>
        <a:lstStyle/>
        <a:p>
          <a:pPr algn="ctr"/>
          <a:r>
            <a:rPr lang="en-GB" sz="2000" b="1" cap="none" spc="0">
              <a:ln w="0"/>
              <a:solidFill>
                <a:schemeClr val="bg1"/>
              </a:solidFill>
              <a:effectLst>
                <a:outerShdw blurRad="38100" dist="19050" dir="2700000" algn="tl" rotWithShape="0">
                  <a:schemeClr val="dk1">
                    <a:alpha val="40000"/>
                  </a:schemeClr>
                </a:outerShdw>
              </a:effectLst>
            </a:rPr>
            <a:t>Start</a:t>
          </a:r>
          <a:endParaRPr lang="en-GB" sz="3600" b="1" cap="none" spc="0">
            <a:ln w="0"/>
            <a:solidFill>
              <a:schemeClr val="bg1"/>
            </a:solidFill>
            <a:effectLst>
              <a:outerShdw blurRad="38100" dist="19050" dir="2700000" algn="tl" rotWithShape="0">
                <a:schemeClr val="dk1">
                  <a:alpha val="40000"/>
                </a:schemeClr>
              </a:outerShdw>
            </a:effectLst>
          </a:endParaRPr>
        </a:p>
      </xdr:txBody>
    </xdr:sp>
    <xdr:clientData/>
  </xdr:twoCellAnchor>
  <xdr:twoCellAnchor editAs="oneCell">
    <xdr:from>
      <xdr:col>1</xdr:col>
      <xdr:colOff>420731</xdr:colOff>
      <xdr:row>16</xdr:row>
      <xdr:rowOff>130174</xdr:rowOff>
    </xdr:from>
    <xdr:to>
      <xdr:col>4</xdr:col>
      <xdr:colOff>122238</xdr:colOff>
      <xdr:row>21</xdr:row>
      <xdr:rowOff>142474</xdr:rowOff>
    </xdr:to>
    <xdr:pic>
      <xdr:nvPicPr>
        <xdr:cNvPr id="9" name="Afbeelding 7" descr="Samenwerking met HAS - Technasium Brabant-Oost: Trots, Talent, Toekomst!">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1231" y="2820987"/>
          <a:ext cx="1535070" cy="9251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369359</xdr:colOff>
      <xdr:row>20</xdr:row>
      <xdr:rowOff>20637</xdr:rowOff>
    </xdr:from>
    <xdr:to>
      <xdr:col>10</xdr:col>
      <xdr:colOff>299328</xdr:colOff>
      <xdr:row>22</xdr:row>
      <xdr:rowOff>65087</xdr:rowOff>
    </xdr:to>
    <xdr:pic>
      <xdr:nvPicPr>
        <xdr:cNvPr id="10" name="Afbeelding 8">
          <a:extLst>
            <a:ext uri="{FF2B5EF4-FFF2-40B4-BE49-F238E27FC236}">
              <a16:creationId xmlns:a16="http://schemas.microsoft.com/office/drawing/2014/main" id="{00000000-0008-0000-0000-00000A000000}"/>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37593" b="37474"/>
        <a:stretch/>
      </xdr:blipFill>
      <xdr:spPr bwMode="auto">
        <a:xfrm>
          <a:off x="3004609" y="3441700"/>
          <a:ext cx="2985907" cy="409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95253</xdr:colOff>
      <xdr:row>15</xdr:row>
      <xdr:rowOff>79376</xdr:rowOff>
    </xdr:from>
    <xdr:to>
      <xdr:col>14</xdr:col>
      <xdr:colOff>611191</xdr:colOff>
      <xdr:row>22</xdr:row>
      <xdr:rowOff>79376</xdr:rowOff>
    </xdr:to>
    <xdr:pic>
      <xdr:nvPicPr>
        <xdr:cNvPr id="2" name="Afbeelding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4"/>
        <a:stretch>
          <a:fillRect/>
        </a:stretch>
      </xdr:blipFill>
      <xdr:spPr>
        <a:xfrm>
          <a:off x="7469191" y="2587626"/>
          <a:ext cx="1277938" cy="127793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47628</xdr:colOff>
      <xdr:row>1</xdr:row>
      <xdr:rowOff>55564</xdr:rowOff>
    </xdr:from>
    <xdr:to>
      <xdr:col>1</xdr:col>
      <xdr:colOff>515628</xdr:colOff>
      <xdr:row>2</xdr:row>
      <xdr:rowOff>125002</xdr:rowOff>
    </xdr:to>
    <xdr:sp macro="" textlink="">
      <xdr:nvSpPr>
        <xdr:cNvPr id="4" name="Pijl: rechts 24">
          <a:hlinkClick xmlns:r="http://schemas.openxmlformats.org/officeDocument/2006/relationships" r:id="rId1"/>
          <a:extLst>
            <a:ext uri="{FF2B5EF4-FFF2-40B4-BE49-F238E27FC236}">
              <a16:creationId xmlns:a16="http://schemas.microsoft.com/office/drawing/2014/main" id="{00000000-0008-0000-0900-000004000000}"/>
            </a:ext>
          </a:extLst>
        </xdr:cNvPr>
        <xdr:cNvSpPr>
          <a:spLocks/>
        </xdr:cNvSpPr>
      </xdr:nvSpPr>
      <xdr:spPr>
        <a:xfrm flipH="1">
          <a:off x="238128" y="239714"/>
          <a:ext cx="468000" cy="253588"/>
        </a:xfrm>
        <a:prstGeom prst="rightArrow">
          <a:avLst/>
        </a:prstGeom>
      </xdr:spPr>
      <xdr:style>
        <a:lnRef idx="0">
          <a:schemeClr val="dk1"/>
        </a:lnRef>
        <a:fillRef idx="3">
          <a:schemeClr val="dk1"/>
        </a:fillRef>
        <a:effectRef idx="3">
          <a:schemeClr val="dk1"/>
        </a:effectRef>
        <a:fontRef idx="minor">
          <a:schemeClr val="lt1"/>
        </a:fontRef>
      </xdr:style>
      <xdr:txBody>
        <a:bodyPr vertOverflow="clip" horzOverflow="clip" rtlCol="0" anchor="t"/>
        <a:lstStyle/>
        <a:p>
          <a:pPr algn="l"/>
          <a:endParaRPr lang="nl-NL"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47628</xdr:colOff>
      <xdr:row>1</xdr:row>
      <xdr:rowOff>55564</xdr:rowOff>
    </xdr:from>
    <xdr:to>
      <xdr:col>1</xdr:col>
      <xdr:colOff>515628</xdr:colOff>
      <xdr:row>2</xdr:row>
      <xdr:rowOff>125002</xdr:rowOff>
    </xdr:to>
    <xdr:sp macro="" textlink="">
      <xdr:nvSpPr>
        <xdr:cNvPr id="4" name="Pijl: rechts 24">
          <a:hlinkClick xmlns:r="http://schemas.openxmlformats.org/officeDocument/2006/relationships" r:id="rId1"/>
          <a:extLst>
            <a:ext uri="{FF2B5EF4-FFF2-40B4-BE49-F238E27FC236}">
              <a16:creationId xmlns:a16="http://schemas.microsoft.com/office/drawing/2014/main" id="{00000000-0008-0000-0A00-000004000000}"/>
            </a:ext>
          </a:extLst>
        </xdr:cNvPr>
        <xdr:cNvSpPr>
          <a:spLocks/>
        </xdr:cNvSpPr>
      </xdr:nvSpPr>
      <xdr:spPr>
        <a:xfrm flipH="1">
          <a:off x="238128" y="239714"/>
          <a:ext cx="468000" cy="253588"/>
        </a:xfrm>
        <a:prstGeom prst="rightArrow">
          <a:avLst/>
        </a:prstGeom>
      </xdr:spPr>
      <xdr:style>
        <a:lnRef idx="0">
          <a:schemeClr val="dk1"/>
        </a:lnRef>
        <a:fillRef idx="3">
          <a:schemeClr val="dk1"/>
        </a:fillRef>
        <a:effectRef idx="3">
          <a:schemeClr val="dk1"/>
        </a:effectRef>
        <a:fontRef idx="minor">
          <a:schemeClr val="lt1"/>
        </a:fontRef>
      </xdr:style>
      <xdr:txBody>
        <a:bodyPr vertOverflow="clip" horzOverflow="clip" rtlCol="0" anchor="t"/>
        <a:lstStyle/>
        <a:p>
          <a:pPr algn="l"/>
          <a:endParaRPr lang="nl-NL"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47628</xdr:colOff>
      <xdr:row>1</xdr:row>
      <xdr:rowOff>55564</xdr:rowOff>
    </xdr:from>
    <xdr:to>
      <xdr:col>1</xdr:col>
      <xdr:colOff>515628</xdr:colOff>
      <xdr:row>2</xdr:row>
      <xdr:rowOff>125002</xdr:rowOff>
    </xdr:to>
    <xdr:sp macro="" textlink="">
      <xdr:nvSpPr>
        <xdr:cNvPr id="4" name="Pijl: rechts 24">
          <a:hlinkClick xmlns:r="http://schemas.openxmlformats.org/officeDocument/2006/relationships" r:id="rId1"/>
          <a:extLst>
            <a:ext uri="{FF2B5EF4-FFF2-40B4-BE49-F238E27FC236}">
              <a16:creationId xmlns:a16="http://schemas.microsoft.com/office/drawing/2014/main" id="{00000000-0008-0000-0B00-000004000000}"/>
            </a:ext>
          </a:extLst>
        </xdr:cNvPr>
        <xdr:cNvSpPr>
          <a:spLocks/>
        </xdr:cNvSpPr>
      </xdr:nvSpPr>
      <xdr:spPr>
        <a:xfrm flipH="1">
          <a:off x="238128" y="239714"/>
          <a:ext cx="468000" cy="253588"/>
        </a:xfrm>
        <a:prstGeom prst="rightArrow">
          <a:avLst/>
        </a:prstGeom>
      </xdr:spPr>
      <xdr:style>
        <a:lnRef idx="0">
          <a:schemeClr val="dk1"/>
        </a:lnRef>
        <a:fillRef idx="3">
          <a:schemeClr val="dk1"/>
        </a:fillRef>
        <a:effectRef idx="3">
          <a:schemeClr val="dk1"/>
        </a:effectRef>
        <a:fontRef idx="minor">
          <a:schemeClr val="lt1"/>
        </a:fontRef>
      </xdr:style>
      <xdr:txBody>
        <a:bodyPr vertOverflow="clip" horzOverflow="clip" rtlCol="0" anchor="t"/>
        <a:lstStyle/>
        <a:p>
          <a:pPr algn="l"/>
          <a:endParaRPr lang="nl-NL"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47628</xdr:colOff>
      <xdr:row>1</xdr:row>
      <xdr:rowOff>55564</xdr:rowOff>
    </xdr:from>
    <xdr:to>
      <xdr:col>1</xdr:col>
      <xdr:colOff>515628</xdr:colOff>
      <xdr:row>2</xdr:row>
      <xdr:rowOff>125002</xdr:rowOff>
    </xdr:to>
    <xdr:sp macro="" textlink="">
      <xdr:nvSpPr>
        <xdr:cNvPr id="5" name="Pijl: rechts 24">
          <a:hlinkClick xmlns:r="http://schemas.openxmlformats.org/officeDocument/2006/relationships" r:id="rId1"/>
          <a:extLst>
            <a:ext uri="{FF2B5EF4-FFF2-40B4-BE49-F238E27FC236}">
              <a16:creationId xmlns:a16="http://schemas.microsoft.com/office/drawing/2014/main" id="{00000000-0008-0000-0C00-000005000000}"/>
            </a:ext>
          </a:extLst>
        </xdr:cNvPr>
        <xdr:cNvSpPr>
          <a:spLocks/>
        </xdr:cNvSpPr>
      </xdr:nvSpPr>
      <xdr:spPr>
        <a:xfrm flipH="1">
          <a:off x="238128" y="239714"/>
          <a:ext cx="468000" cy="253588"/>
        </a:xfrm>
        <a:prstGeom prst="rightArrow">
          <a:avLst/>
        </a:prstGeom>
      </xdr:spPr>
      <xdr:style>
        <a:lnRef idx="0">
          <a:schemeClr val="dk1"/>
        </a:lnRef>
        <a:fillRef idx="3">
          <a:schemeClr val="dk1"/>
        </a:fillRef>
        <a:effectRef idx="3">
          <a:schemeClr val="dk1"/>
        </a:effectRef>
        <a:fontRef idx="minor">
          <a:schemeClr val="lt1"/>
        </a:fontRef>
      </xdr:style>
      <xdr:txBody>
        <a:bodyPr vertOverflow="clip" horzOverflow="clip" rtlCol="0" anchor="t"/>
        <a:lstStyle/>
        <a:p>
          <a:pPr algn="l"/>
          <a:endParaRPr lang="nl-NL"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4</xdr:col>
      <xdr:colOff>20514</xdr:colOff>
      <xdr:row>10</xdr:row>
      <xdr:rowOff>13608</xdr:rowOff>
    </xdr:from>
    <xdr:to>
      <xdr:col>4</xdr:col>
      <xdr:colOff>189457</xdr:colOff>
      <xdr:row>11</xdr:row>
      <xdr:rowOff>1707</xdr:rowOff>
    </xdr:to>
    <xdr:pic>
      <xdr:nvPicPr>
        <xdr:cNvPr id="8206" name="Afbeelding 10">
          <a:extLst>
            <a:ext uri="{FF2B5EF4-FFF2-40B4-BE49-F238E27FC236}">
              <a16:creationId xmlns:a16="http://schemas.microsoft.com/office/drawing/2014/main" id="{00000000-0008-0000-0D00-00000E200000}"/>
            </a:ext>
          </a:extLst>
        </xdr:cNvPr>
        <xdr:cNvPicPr preferRelativeResize="0">
          <a:picLocks noChangeAspect="1" noChangeArrowheads="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10000" b="90000" l="10000" r="90000">
                      <a14:foregroundMark x1="53659" y1="56098" x2="53659" y2="56098"/>
                      <a14:foregroundMark x1="73171" y1="39024" x2="73171" y2="39024"/>
                      <a14:foregroundMark x1="43902" y1="39024" x2="43902" y2="39024"/>
                      <a14:foregroundMark x1="82927" y1="56098" x2="82927" y2="56098"/>
                    </a14:backgroundRemoval>
                  </a14:imgEffect>
                </a14:imgLayer>
              </a14:imgProps>
            </a:ext>
            <a:ext uri="{28A0092B-C50C-407E-A947-70E740481C1C}">
              <a14:useLocalDpi xmlns:a14="http://schemas.microsoft.com/office/drawing/2010/main" val="0"/>
            </a:ext>
          </a:extLst>
        </a:blip>
        <a:srcRect/>
        <a:stretch>
          <a:fillRect/>
        </a:stretch>
      </xdr:blipFill>
      <xdr:spPr bwMode="auto">
        <a:xfrm>
          <a:off x="4695702" y="1839233"/>
          <a:ext cx="168943" cy="170662"/>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4</xdr:col>
      <xdr:colOff>20819</xdr:colOff>
      <xdr:row>8</xdr:row>
      <xdr:rowOff>3976</xdr:rowOff>
    </xdr:from>
    <xdr:to>
      <xdr:col>5</xdr:col>
      <xdr:colOff>0</xdr:colOff>
      <xdr:row>10</xdr:row>
      <xdr:rowOff>0</xdr:rowOff>
    </xdr:to>
    <xdr:grpSp>
      <xdr:nvGrpSpPr>
        <xdr:cNvPr id="11" name="Groep 3">
          <a:extLst>
            <a:ext uri="{FF2B5EF4-FFF2-40B4-BE49-F238E27FC236}">
              <a16:creationId xmlns:a16="http://schemas.microsoft.com/office/drawing/2014/main" id="{00000000-0008-0000-0D00-00000B000000}"/>
            </a:ext>
          </a:extLst>
        </xdr:cNvPr>
        <xdr:cNvGrpSpPr>
          <a:grpSpLocks noChangeAspect="1"/>
        </xdr:cNvGrpSpPr>
      </xdr:nvGrpSpPr>
      <xdr:grpSpPr>
        <a:xfrm>
          <a:off x="4611869" y="1451776"/>
          <a:ext cx="169681" cy="357974"/>
          <a:chOff x="4936092" y="914444"/>
          <a:chExt cx="172442" cy="360459"/>
        </a:xfrm>
      </xdr:grpSpPr>
      <xdr:pic>
        <xdr:nvPicPr>
          <xdr:cNvPr id="13" name="Afbeelding 5">
            <a:extLst>
              <a:ext uri="{FF2B5EF4-FFF2-40B4-BE49-F238E27FC236}">
                <a16:creationId xmlns:a16="http://schemas.microsoft.com/office/drawing/2014/main" id="{00000000-0008-0000-0D00-00000D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936092" y="1105375"/>
            <a:ext cx="168943" cy="169528"/>
          </a:xfrm>
          <a:prstGeom prst="rect">
            <a:avLst/>
          </a:prstGeom>
          <a:extLst>
            <a:ext uri="{909E8E84-426E-40DD-AFC4-6F175D3DCCD1}">
              <a14:hiddenFill xmlns:a14="http://schemas.microsoft.com/office/drawing/2010/main">
                <a:solidFill>
                  <a:srgbClr val="FFFFFF"/>
                </a:solidFill>
              </a14:hiddenFill>
            </a:ext>
          </a:extLst>
        </xdr:spPr>
      </xdr:pic>
      <xdr:pic>
        <xdr:nvPicPr>
          <xdr:cNvPr id="14" name="Afbeelding 6">
            <a:extLst>
              <a:ext uri="{FF2B5EF4-FFF2-40B4-BE49-F238E27FC236}">
                <a16:creationId xmlns:a16="http://schemas.microsoft.com/office/drawing/2014/main" id="{00000000-0008-0000-0D00-00000E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939591" y="914444"/>
            <a:ext cx="168943" cy="169528"/>
          </a:xfrm>
          <a:prstGeom prst="rect">
            <a:avLst/>
          </a:prstGeom>
          <a:extLst>
            <a:ext uri="{909E8E84-426E-40DD-AFC4-6F175D3DCCD1}">
              <a14:hiddenFill xmlns:a14="http://schemas.microsoft.com/office/drawing/2010/main">
                <a:solidFill>
                  <a:srgbClr val="FFFFFF"/>
                </a:solidFill>
              </a14:hiddenFill>
            </a:ext>
          </a:extLst>
        </xdr:spPr>
      </xdr:pic>
    </xdr:grpSp>
    <xdr:clientData fLocksWithSheet="0"/>
  </xdr:twoCellAnchor>
  <mc:AlternateContent xmlns:mc="http://schemas.openxmlformats.org/markup-compatibility/2006">
    <mc:Choice xmlns:a14="http://schemas.microsoft.com/office/drawing/2010/main" Requires="a14">
      <xdr:twoCellAnchor editAs="oneCell">
        <xdr:from>
          <xdr:col>1</xdr:col>
          <xdr:colOff>7620</xdr:colOff>
          <xdr:row>4</xdr:row>
          <xdr:rowOff>7620</xdr:rowOff>
        </xdr:from>
        <xdr:to>
          <xdr:col>1</xdr:col>
          <xdr:colOff>1920240</xdr:colOff>
          <xdr:row>5</xdr:row>
          <xdr:rowOff>0</xdr:rowOff>
        </xdr:to>
        <xdr:sp macro="" textlink="">
          <xdr:nvSpPr>
            <xdr:cNvPr id="8193" name="Option Button 1" hidden="1">
              <a:extLst>
                <a:ext uri="{63B3BB69-23CF-44E3-9099-C40C66FF867C}">
                  <a14:compatExt spid="_x0000_s8193"/>
                </a:ext>
                <a:ext uri="{FF2B5EF4-FFF2-40B4-BE49-F238E27FC236}">
                  <a16:creationId xmlns:a16="http://schemas.microsoft.com/office/drawing/2014/main" id="{00000000-0008-0000-0D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NL" sz="800" b="0" i="0" u="none" strike="noStrike" baseline="0">
                  <a:solidFill>
                    <a:srgbClr val="000000"/>
                  </a:solidFill>
                  <a:latin typeface="Segoe UI"/>
                  <a:cs typeface="Segoe UI"/>
                </a:rPr>
                <a:t>Gemiddelde gebruiken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5</xdr:row>
          <xdr:rowOff>0</xdr:rowOff>
        </xdr:from>
        <xdr:to>
          <xdr:col>1</xdr:col>
          <xdr:colOff>1912620</xdr:colOff>
          <xdr:row>6</xdr:row>
          <xdr:rowOff>7620</xdr:rowOff>
        </xdr:to>
        <xdr:sp macro="" textlink="">
          <xdr:nvSpPr>
            <xdr:cNvPr id="8195" name="Option Button 3" hidden="1">
              <a:extLst>
                <a:ext uri="{63B3BB69-23CF-44E3-9099-C40C66FF867C}">
                  <a14:compatExt spid="_x0000_s8195"/>
                </a:ext>
                <a:ext uri="{FF2B5EF4-FFF2-40B4-BE49-F238E27FC236}">
                  <a16:creationId xmlns:a16="http://schemas.microsoft.com/office/drawing/2014/main" id="{00000000-0008-0000-0D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NL" sz="800" b="0" i="0" u="none" strike="noStrike" baseline="0">
                  <a:solidFill>
                    <a:srgbClr val="000000"/>
                  </a:solidFill>
                  <a:latin typeface="Segoe UI"/>
                  <a:cs typeface="Segoe UI"/>
                </a:rPr>
                <a:t>Eigen invoer gebruiken</a:t>
              </a:r>
            </a:p>
          </xdr:txBody>
        </xdr:sp>
        <xdr:clientData/>
      </xdr:twoCellAnchor>
    </mc:Choice>
    <mc:Fallback/>
  </mc:AlternateContent>
  <xdr:twoCellAnchor>
    <xdr:from>
      <xdr:col>1</xdr:col>
      <xdr:colOff>47628</xdr:colOff>
      <xdr:row>1</xdr:row>
      <xdr:rowOff>55562</xdr:rowOff>
    </xdr:from>
    <xdr:to>
      <xdr:col>1</xdr:col>
      <xdr:colOff>515628</xdr:colOff>
      <xdr:row>2</xdr:row>
      <xdr:rowOff>125000</xdr:rowOff>
    </xdr:to>
    <xdr:sp macro="" textlink="">
      <xdr:nvSpPr>
        <xdr:cNvPr id="15" name="Pijl: rechts 24">
          <a:hlinkClick xmlns:r="http://schemas.openxmlformats.org/officeDocument/2006/relationships" r:id="rId4"/>
          <a:extLst>
            <a:ext uri="{FF2B5EF4-FFF2-40B4-BE49-F238E27FC236}">
              <a16:creationId xmlns:a16="http://schemas.microsoft.com/office/drawing/2014/main" id="{00000000-0008-0000-0D00-00000F000000}"/>
            </a:ext>
          </a:extLst>
        </xdr:cNvPr>
        <xdr:cNvSpPr>
          <a:spLocks/>
        </xdr:cNvSpPr>
      </xdr:nvSpPr>
      <xdr:spPr>
        <a:xfrm flipH="1">
          <a:off x="238128" y="238125"/>
          <a:ext cx="468000" cy="252000"/>
        </a:xfrm>
        <a:prstGeom prst="rightArrow">
          <a:avLst/>
        </a:prstGeom>
      </xdr:spPr>
      <xdr:style>
        <a:lnRef idx="0">
          <a:schemeClr val="dk1"/>
        </a:lnRef>
        <a:fillRef idx="3">
          <a:schemeClr val="dk1"/>
        </a:fillRef>
        <a:effectRef idx="3">
          <a:schemeClr val="dk1"/>
        </a:effectRef>
        <a:fontRef idx="minor">
          <a:schemeClr val="lt1"/>
        </a:fontRef>
      </xdr:style>
      <xdr:txBody>
        <a:bodyPr vertOverflow="clip" horzOverflow="clip" rtlCol="0" anchor="t"/>
        <a:lstStyle/>
        <a:p>
          <a:pPr algn="l"/>
          <a:endParaRPr lang="nl-NL" sz="1100"/>
        </a:p>
      </xdr:txBody>
    </xdr:sp>
    <xdr:clientData/>
  </xdr:twoCellAnchor>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4</xdr:row>
          <xdr:rowOff>0</xdr:rowOff>
        </xdr:from>
        <xdr:to>
          <xdr:col>2</xdr:col>
          <xdr:colOff>0</xdr:colOff>
          <xdr:row>5</xdr:row>
          <xdr:rowOff>0</xdr:rowOff>
        </xdr:to>
        <xdr:sp macro="" textlink="">
          <xdr:nvSpPr>
            <xdr:cNvPr id="15361" name="Option Button 1" hidden="1">
              <a:extLst>
                <a:ext uri="{63B3BB69-23CF-44E3-9099-C40C66FF867C}">
                  <a14:compatExt spid="_x0000_s15361"/>
                </a:ext>
                <a:ext uri="{FF2B5EF4-FFF2-40B4-BE49-F238E27FC236}">
                  <a16:creationId xmlns:a16="http://schemas.microsoft.com/office/drawing/2014/main" id="{00000000-0008-0000-0E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NL" sz="800" b="0" i="0" u="none" strike="noStrike" baseline="0">
                  <a:solidFill>
                    <a:srgbClr val="000000"/>
                  </a:solidFill>
                  <a:latin typeface="Segoe UI"/>
                  <a:cs typeface="Segoe UI"/>
                </a:rPr>
                <a:t>Gemiddelde gebruiken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0</xdr:rowOff>
        </xdr:to>
        <xdr:sp macro="" textlink="">
          <xdr:nvSpPr>
            <xdr:cNvPr id="15362" name="Option Button 2" hidden="1">
              <a:extLst>
                <a:ext uri="{63B3BB69-23CF-44E3-9099-C40C66FF867C}">
                  <a14:compatExt spid="_x0000_s15362"/>
                </a:ext>
                <a:ext uri="{FF2B5EF4-FFF2-40B4-BE49-F238E27FC236}">
                  <a16:creationId xmlns:a16="http://schemas.microsoft.com/office/drawing/2014/main" id="{00000000-0008-0000-0E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NL" sz="800" b="0" i="0" u="none" strike="noStrike" baseline="0">
                  <a:solidFill>
                    <a:srgbClr val="000000"/>
                  </a:solidFill>
                  <a:latin typeface="Segoe UI"/>
                  <a:cs typeface="Segoe UI"/>
                </a:rPr>
                <a:t>Eigen invoer gebruiken</a:t>
              </a:r>
            </a:p>
          </xdr:txBody>
        </xdr:sp>
        <xdr:clientData/>
      </xdr:twoCellAnchor>
    </mc:Choice>
    <mc:Fallback/>
  </mc:AlternateContent>
  <xdr:twoCellAnchor>
    <xdr:from>
      <xdr:col>4</xdr:col>
      <xdr:colOff>21557</xdr:colOff>
      <xdr:row>9</xdr:row>
      <xdr:rowOff>13034</xdr:rowOff>
    </xdr:from>
    <xdr:to>
      <xdr:col>5</xdr:col>
      <xdr:colOff>0</xdr:colOff>
      <xdr:row>10</xdr:row>
      <xdr:rowOff>0</xdr:rowOff>
    </xdr:to>
    <xdr:pic>
      <xdr:nvPicPr>
        <xdr:cNvPr id="5" name="Afbeelding 4">
          <a:extLst>
            <a:ext uri="{FF2B5EF4-FFF2-40B4-BE49-F238E27FC236}">
              <a16:creationId xmlns:a16="http://schemas.microsoft.com/office/drawing/2014/main" id="{00000000-0008-0000-0E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96745" y="1671972"/>
          <a:ext cx="168943" cy="169528"/>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xdr:from>
      <xdr:col>4</xdr:col>
      <xdr:colOff>18144</xdr:colOff>
      <xdr:row>8</xdr:row>
      <xdr:rowOff>9072</xdr:rowOff>
    </xdr:from>
    <xdr:to>
      <xdr:col>4</xdr:col>
      <xdr:colOff>187087</xdr:colOff>
      <xdr:row>8</xdr:row>
      <xdr:rowOff>178600</xdr:rowOff>
    </xdr:to>
    <xdr:pic>
      <xdr:nvPicPr>
        <xdr:cNvPr id="6" name="Afbeelding 5">
          <a:extLst>
            <a:ext uri="{FF2B5EF4-FFF2-40B4-BE49-F238E27FC236}">
              <a16:creationId xmlns:a16="http://schemas.microsoft.com/office/drawing/2014/main" id="{00000000-0008-0000-0E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71787" y="934358"/>
          <a:ext cx="168943" cy="169528"/>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xdr:from>
      <xdr:col>4</xdr:col>
      <xdr:colOff>21557</xdr:colOff>
      <xdr:row>10</xdr:row>
      <xdr:rowOff>11900</xdr:rowOff>
    </xdr:from>
    <xdr:to>
      <xdr:col>5</xdr:col>
      <xdr:colOff>0</xdr:colOff>
      <xdr:row>11</xdr:row>
      <xdr:rowOff>0</xdr:rowOff>
    </xdr:to>
    <xdr:pic>
      <xdr:nvPicPr>
        <xdr:cNvPr id="7" name="Afbeelding 6">
          <a:extLst>
            <a:ext uri="{FF2B5EF4-FFF2-40B4-BE49-F238E27FC236}">
              <a16:creationId xmlns:a16="http://schemas.microsoft.com/office/drawing/2014/main" id="{00000000-0008-0000-0E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96745" y="1853400"/>
          <a:ext cx="168943" cy="170663"/>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xdr:from>
      <xdr:col>1</xdr:col>
      <xdr:colOff>47628</xdr:colOff>
      <xdr:row>1</xdr:row>
      <xdr:rowOff>55562</xdr:rowOff>
    </xdr:from>
    <xdr:to>
      <xdr:col>1</xdr:col>
      <xdr:colOff>515628</xdr:colOff>
      <xdr:row>2</xdr:row>
      <xdr:rowOff>125000</xdr:rowOff>
    </xdr:to>
    <xdr:sp macro="" textlink="">
      <xdr:nvSpPr>
        <xdr:cNvPr id="10" name="Pijl: rechts 24">
          <a:hlinkClick xmlns:r="http://schemas.openxmlformats.org/officeDocument/2006/relationships" r:id="rId2"/>
          <a:extLst>
            <a:ext uri="{FF2B5EF4-FFF2-40B4-BE49-F238E27FC236}">
              <a16:creationId xmlns:a16="http://schemas.microsoft.com/office/drawing/2014/main" id="{00000000-0008-0000-0E00-00000A000000}"/>
            </a:ext>
          </a:extLst>
        </xdr:cNvPr>
        <xdr:cNvSpPr>
          <a:spLocks/>
        </xdr:cNvSpPr>
      </xdr:nvSpPr>
      <xdr:spPr>
        <a:xfrm flipH="1">
          <a:off x="238128" y="239712"/>
          <a:ext cx="468000" cy="253588"/>
        </a:xfrm>
        <a:prstGeom prst="rightArrow">
          <a:avLst/>
        </a:prstGeom>
      </xdr:spPr>
      <xdr:style>
        <a:lnRef idx="0">
          <a:schemeClr val="dk1"/>
        </a:lnRef>
        <a:fillRef idx="3">
          <a:schemeClr val="dk1"/>
        </a:fillRef>
        <a:effectRef idx="3">
          <a:schemeClr val="dk1"/>
        </a:effectRef>
        <a:fontRef idx="minor">
          <a:schemeClr val="lt1"/>
        </a:fontRef>
      </xdr:style>
      <xdr:txBody>
        <a:bodyPr vertOverflow="clip" horzOverflow="clip" rtlCol="0" anchor="t"/>
        <a:lstStyle/>
        <a:p>
          <a:pPr algn="l"/>
          <a:endParaRPr lang="nl-NL" sz="1100"/>
        </a:p>
      </xdr:txBody>
    </xdr:sp>
    <xdr:clientData/>
  </xdr:twoCellAnchor>
</xdr:wsDr>
</file>

<file path=xl/drawings/drawing1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xdr:colOff>
          <xdr:row>4</xdr:row>
          <xdr:rowOff>0</xdr:rowOff>
        </xdr:from>
        <xdr:to>
          <xdr:col>2</xdr:col>
          <xdr:colOff>0</xdr:colOff>
          <xdr:row>5</xdr:row>
          <xdr:rowOff>0</xdr:rowOff>
        </xdr:to>
        <xdr:sp macro="" textlink="">
          <xdr:nvSpPr>
            <xdr:cNvPr id="16385" name="Option Button 1" hidden="1">
              <a:extLst>
                <a:ext uri="{63B3BB69-23CF-44E3-9099-C40C66FF867C}">
                  <a14:compatExt spid="_x0000_s16385"/>
                </a:ext>
                <a:ext uri="{FF2B5EF4-FFF2-40B4-BE49-F238E27FC236}">
                  <a16:creationId xmlns:a16="http://schemas.microsoft.com/office/drawing/2014/main" id="{00000000-0008-0000-0F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NL" sz="800" b="0" i="0" u="none" strike="noStrike" baseline="0">
                  <a:solidFill>
                    <a:srgbClr val="000000"/>
                  </a:solidFill>
                  <a:latin typeface="Segoe UI"/>
                  <a:cs typeface="Segoe UI"/>
                </a:rPr>
                <a:t>Gemiddelde gebruiken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5</xdr:row>
          <xdr:rowOff>0</xdr:rowOff>
        </xdr:from>
        <xdr:to>
          <xdr:col>1</xdr:col>
          <xdr:colOff>2042160</xdr:colOff>
          <xdr:row>6</xdr:row>
          <xdr:rowOff>0</xdr:rowOff>
        </xdr:to>
        <xdr:sp macro="" textlink="">
          <xdr:nvSpPr>
            <xdr:cNvPr id="16386" name="Option Button 2" hidden="1">
              <a:extLst>
                <a:ext uri="{63B3BB69-23CF-44E3-9099-C40C66FF867C}">
                  <a14:compatExt spid="_x0000_s16386"/>
                </a:ext>
                <a:ext uri="{FF2B5EF4-FFF2-40B4-BE49-F238E27FC236}">
                  <a16:creationId xmlns:a16="http://schemas.microsoft.com/office/drawing/2014/main" id="{00000000-0008-0000-0F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NL" sz="800" b="0" i="0" u="none" strike="noStrike" baseline="0">
                  <a:solidFill>
                    <a:srgbClr val="000000"/>
                  </a:solidFill>
                  <a:latin typeface="Segoe UI"/>
                  <a:cs typeface="Segoe UI"/>
                </a:rPr>
                <a:t>Eigen invoer gebruiken</a:t>
              </a:r>
            </a:p>
          </xdr:txBody>
        </xdr:sp>
        <xdr:clientData/>
      </xdr:twoCellAnchor>
    </mc:Choice>
    <mc:Fallback/>
  </mc:AlternateContent>
  <xdr:twoCellAnchor>
    <xdr:from>
      <xdr:col>4</xdr:col>
      <xdr:colOff>18144</xdr:colOff>
      <xdr:row>9</xdr:row>
      <xdr:rowOff>9071</xdr:rowOff>
    </xdr:from>
    <xdr:to>
      <xdr:col>4</xdr:col>
      <xdr:colOff>187087</xdr:colOff>
      <xdr:row>9</xdr:row>
      <xdr:rowOff>178599</xdr:rowOff>
    </xdr:to>
    <xdr:pic>
      <xdr:nvPicPr>
        <xdr:cNvPr id="5" name="Afbeelding 4">
          <a:extLst>
            <a:ext uri="{FF2B5EF4-FFF2-40B4-BE49-F238E27FC236}">
              <a16:creationId xmlns:a16="http://schemas.microsoft.com/office/drawing/2014/main" id="{00000000-0008-0000-0F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9994" y="1126671"/>
          <a:ext cx="168943" cy="169528"/>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xdr:from>
      <xdr:col>4</xdr:col>
      <xdr:colOff>18144</xdr:colOff>
      <xdr:row>8</xdr:row>
      <xdr:rowOff>9072</xdr:rowOff>
    </xdr:from>
    <xdr:to>
      <xdr:col>4</xdr:col>
      <xdr:colOff>187087</xdr:colOff>
      <xdr:row>8</xdr:row>
      <xdr:rowOff>178600</xdr:rowOff>
    </xdr:to>
    <xdr:pic>
      <xdr:nvPicPr>
        <xdr:cNvPr id="6" name="Afbeelding 5">
          <a:extLst>
            <a:ext uri="{FF2B5EF4-FFF2-40B4-BE49-F238E27FC236}">
              <a16:creationId xmlns:a16="http://schemas.microsoft.com/office/drawing/2014/main" id="{00000000-0008-0000-0F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9994" y="942522"/>
          <a:ext cx="168943" cy="169528"/>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xdr:from>
      <xdr:col>4</xdr:col>
      <xdr:colOff>18143</xdr:colOff>
      <xdr:row>10</xdr:row>
      <xdr:rowOff>18143</xdr:rowOff>
    </xdr:from>
    <xdr:to>
      <xdr:col>4</xdr:col>
      <xdr:colOff>187086</xdr:colOff>
      <xdr:row>11</xdr:row>
      <xdr:rowOff>6243</xdr:rowOff>
    </xdr:to>
    <xdr:pic>
      <xdr:nvPicPr>
        <xdr:cNvPr id="8" name="Afbeelding 7">
          <a:extLst>
            <a:ext uri="{FF2B5EF4-FFF2-40B4-BE49-F238E27FC236}">
              <a16:creationId xmlns:a16="http://schemas.microsoft.com/office/drawing/2014/main" id="{00000000-0008-0000-0F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9993" y="1319893"/>
          <a:ext cx="168943" cy="17225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xdr:from>
      <xdr:col>1</xdr:col>
      <xdr:colOff>47628</xdr:colOff>
      <xdr:row>1</xdr:row>
      <xdr:rowOff>55562</xdr:rowOff>
    </xdr:from>
    <xdr:to>
      <xdr:col>1</xdr:col>
      <xdr:colOff>515628</xdr:colOff>
      <xdr:row>2</xdr:row>
      <xdr:rowOff>125000</xdr:rowOff>
    </xdr:to>
    <xdr:sp macro="" textlink="">
      <xdr:nvSpPr>
        <xdr:cNvPr id="10" name="Pijl: rechts 24">
          <a:hlinkClick xmlns:r="http://schemas.openxmlformats.org/officeDocument/2006/relationships" r:id="rId2"/>
          <a:extLst>
            <a:ext uri="{FF2B5EF4-FFF2-40B4-BE49-F238E27FC236}">
              <a16:creationId xmlns:a16="http://schemas.microsoft.com/office/drawing/2014/main" id="{00000000-0008-0000-0F00-00000A000000}"/>
            </a:ext>
          </a:extLst>
        </xdr:cNvPr>
        <xdr:cNvSpPr>
          <a:spLocks/>
        </xdr:cNvSpPr>
      </xdr:nvSpPr>
      <xdr:spPr>
        <a:xfrm flipH="1">
          <a:off x="238128" y="239712"/>
          <a:ext cx="468000" cy="253588"/>
        </a:xfrm>
        <a:prstGeom prst="rightArrow">
          <a:avLst/>
        </a:prstGeom>
      </xdr:spPr>
      <xdr:style>
        <a:lnRef idx="0">
          <a:schemeClr val="dk1"/>
        </a:lnRef>
        <a:fillRef idx="3">
          <a:schemeClr val="dk1"/>
        </a:fillRef>
        <a:effectRef idx="3">
          <a:schemeClr val="dk1"/>
        </a:effectRef>
        <a:fontRef idx="minor">
          <a:schemeClr val="lt1"/>
        </a:fontRef>
      </xdr:style>
      <xdr:txBody>
        <a:bodyPr vertOverflow="clip" horzOverflow="clip" rtlCol="0" anchor="t"/>
        <a:lstStyle/>
        <a:p>
          <a:pPr algn="l"/>
          <a:endParaRPr lang="nl-NL" sz="1100"/>
        </a:p>
      </xdr:txBody>
    </xdr:sp>
    <xdr:clientData/>
  </xdr:twoCellAnchor>
</xdr:wsDr>
</file>

<file path=xl/drawings/drawing1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4</xdr:row>
          <xdr:rowOff>0</xdr:rowOff>
        </xdr:from>
        <xdr:to>
          <xdr:col>2</xdr:col>
          <xdr:colOff>0</xdr:colOff>
          <xdr:row>5</xdr:row>
          <xdr:rowOff>0</xdr:rowOff>
        </xdr:to>
        <xdr:sp macro="" textlink="">
          <xdr:nvSpPr>
            <xdr:cNvPr id="17409" name="Option Button 1" hidden="1">
              <a:extLst>
                <a:ext uri="{63B3BB69-23CF-44E3-9099-C40C66FF867C}">
                  <a14:compatExt spid="_x0000_s17409"/>
                </a:ext>
                <a:ext uri="{FF2B5EF4-FFF2-40B4-BE49-F238E27FC236}">
                  <a16:creationId xmlns:a16="http://schemas.microsoft.com/office/drawing/2014/main" id="{00000000-0008-0000-10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NL" sz="800" b="0" i="0" u="none" strike="noStrike" baseline="0">
                  <a:solidFill>
                    <a:srgbClr val="000000"/>
                  </a:solidFill>
                  <a:latin typeface="Segoe UI"/>
                  <a:cs typeface="Segoe UI"/>
                </a:rPr>
                <a:t>Gemiddelde gebruiken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xdr:row>
          <xdr:rowOff>182880</xdr:rowOff>
        </xdr:from>
        <xdr:to>
          <xdr:col>2</xdr:col>
          <xdr:colOff>0</xdr:colOff>
          <xdr:row>6</xdr:row>
          <xdr:rowOff>7620</xdr:rowOff>
        </xdr:to>
        <xdr:sp macro="" textlink="">
          <xdr:nvSpPr>
            <xdr:cNvPr id="17410" name="Option Button 2" hidden="1">
              <a:extLst>
                <a:ext uri="{63B3BB69-23CF-44E3-9099-C40C66FF867C}">
                  <a14:compatExt spid="_x0000_s17410"/>
                </a:ext>
                <a:ext uri="{FF2B5EF4-FFF2-40B4-BE49-F238E27FC236}">
                  <a16:creationId xmlns:a16="http://schemas.microsoft.com/office/drawing/2014/main" id="{00000000-0008-0000-10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NL" sz="800" b="0" i="0" u="none" strike="noStrike" baseline="0">
                  <a:solidFill>
                    <a:srgbClr val="000000"/>
                  </a:solidFill>
                  <a:latin typeface="Segoe UI"/>
                  <a:cs typeface="Segoe UI"/>
                </a:rPr>
                <a:t>Eigen invoer gebruiken</a:t>
              </a:r>
            </a:p>
          </xdr:txBody>
        </xdr:sp>
        <xdr:clientData/>
      </xdr:twoCellAnchor>
    </mc:Choice>
    <mc:Fallback/>
  </mc:AlternateContent>
  <xdr:twoCellAnchor>
    <xdr:from>
      <xdr:col>4</xdr:col>
      <xdr:colOff>18144</xdr:colOff>
      <xdr:row>9</xdr:row>
      <xdr:rowOff>9071</xdr:rowOff>
    </xdr:from>
    <xdr:to>
      <xdr:col>4</xdr:col>
      <xdr:colOff>187087</xdr:colOff>
      <xdr:row>9</xdr:row>
      <xdr:rowOff>178599</xdr:rowOff>
    </xdr:to>
    <xdr:pic>
      <xdr:nvPicPr>
        <xdr:cNvPr id="5" name="Afbeelding 4">
          <a:extLst>
            <a:ext uri="{FF2B5EF4-FFF2-40B4-BE49-F238E27FC236}">
              <a16:creationId xmlns:a16="http://schemas.microsoft.com/office/drawing/2014/main" id="{00000000-0008-0000-1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9994" y="1126671"/>
          <a:ext cx="168943" cy="169528"/>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xdr:from>
      <xdr:col>4</xdr:col>
      <xdr:colOff>18144</xdr:colOff>
      <xdr:row>8</xdr:row>
      <xdr:rowOff>9072</xdr:rowOff>
    </xdr:from>
    <xdr:to>
      <xdr:col>4</xdr:col>
      <xdr:colOff>187087</xdr:colOff>
      <xdr:row>8</xdr:row>
      <xdr:rowOff>178600</xdr:rowOff>
    </xdr:to>
    <xdr:pic>
      <xdr:nvPicPr>
        <xdr:cNvPr id="6" name="Afbeelding 5">
          <a:extLst>
            <a:ext uri="{FF2B5EF4-FFF2-40B4-BE49-F238E27FC236}">
              <a16:creationId xmlns:a16="http://schemas.microsoft.com/office/drawing/2014/main" id="{00000000-0008-0000-1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9994" y="942522"/>
          <a:ext cx="168943" cy="169528"/>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xdr:from>
      <xdr:col>4</xdr:col>
      <xdr:colOff>18143</xdr:colOff>
      <xdr:row>10</xdr:row>
      <xdr:rowOff>18143</xdr:rowOff>
    </xdr:from>
    <xdr:to>
      <xdr:col>4</xdr:col>
      <xdr:colOff>187086</xdr:colOff>
      <xdr:row>11</xdr:row>
      <xdr:rowOff>6243</xdr:rowOff>
    </xdr:to>
    <xdr:pic>
      <xdr:nvPicPr>
        <xdr:cNvPr id="7" name="Afbeelding 6">
          <a:extLst>
            <a:ext uri="{FF2B5EF4-FFF2-40B4-BE49-F238E27FC236}">
              <a16:creationId xmlns:a16="http://schemas.microsoft.com/office/drawing/2014/main" id="{00000000-0008-0000-10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9993" y="1319893"/>
          <a:ext cx="168943" cy="17225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xdr:from>
      <xdr:col>1</xdr:col>
      <xdr:colOff>47628</xdr:colOff>
      <xdr:row>1</xdr:row>
      <xdr:rowOff>55562</xdr:rowOff>
    </xdr:from>
    <xdr:to>
      <xdr:col>1</xdr:col>
      <xdr:colOff>515628</xdr:colOff>
      <xdr:row>2</xdr:row>
      <xdr:rowOff>125000</xdr:rowOff>
    </xdr:to>
    <xdr:sp macro="" textlink="">
      <xdr:nvSpPr>
        <xdr:cNvPr id="10" name="Pijl: rechts 24">
          <a:hlinkClick xmlns:r="http://schemas.openxmlformats.org/officeDocument/2006/relationships" r:id="rId2"/>
          <a:extLst>
            <a:ext uri="{FF2B5EF4-FFF2-40B4-BE49-F238E27FC236}">
              <a16:creationId xmlns:a16="http://schemas.microsoft.com/office/drawing/2014/main" id="{00000000-0008-0000-1000-00000A000000}"/>
            </a:ext>
          </a:extLst>
        </xdr:cNvPr>
        <xdr:cNvSpPr>
          <a:spLocks/>
        </xdr:cNvSpPr>
      </xdr:nvSpPr>
      <xdr:spPr>
        <a:xfrm flipH="1">
          <a:off x="231778" y="239712"/>
          <a:ext cx="468000" cy="253588"/>
        </a:xfrm>
        <a:prstGeom prst="rightArrow">
          <a:avLst/>
        </a:prstGeom>
      </xdr:spPr>
      <xdr:style>
        <a:lnRef idx="0">
          <a:schemeClr val="dk1"/>
        </a:lnRef>
        <a:fillRef idx="3">
          <a:schemeClr val="dk1"/>
        </a:fillRef>
        <a:effectRef idx="3">
          <a:schemeClr val="dk1"/>
        </a:effectRef>
        <a:fontRef idx="minor">
          <a:schemeClr val="lt1"/>
        </a:fontRef>
      </xdr:style>
      <xdr:txBody>
        <a:bodyPr vertOverflow="clip" horzOverflow="clip" rtlCol="0" anchor="t"/>
        <a:lstStyle/>
        <a:p>
          <a:pPr algn="l"/>
          <a:endParaRPr lang="nl-NL" sz="1100"/>
        </a:p>
      </xdr:txBody>
    </xdr:sp>
    <xdr:clientData/>
  </xdr:twoCellAnchor>
</xdr:wsDr>
</file>

<file path=xl/drawings/drawing1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4</xdr:row>
          <xdr:rowOff>0</xdr:rowOff>
        </xdr:from>
        <xdr:to>
          <xdr:col>2</xdr:col>
          <xdr:colOff>0</xdr:colOff>
          <xdr:row>5</xdr:row>
          <xdr:rowOff>0</xdr:rowOff>
        </xdr:to>
        <xdr:sp macro="" textlink="">
          <xdr:nvSpPr>
            <xdr:cNvPr id="18433" name="Option Button 1" hidden="1">
              <a:extLst>
                <a:ext uri="{63B3BB69-23CF-44E3-9099-C40C66FF867C}">
                  <a14:compatExt spid="_x0000_s18433"/>
                </a:ext>
                <a:ext uri="{FF2B5EF4-FFF2-40B4-BE49-F238E27FC236}">
                  <a16:creationId xmlns:a16="http://schemas.microsoft.com/office/drawing/2014/main" id="{00000000-0008-0000-11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NL" sz="800" b="0" i="0" u="none" strike="noStrike" baseline="0">
                  <a:solidFill>
                    <a:srgbClr val="000000"/>
                  </a:solidFill>
                  <a:latin typeface="Segoe UI"/>
                  <a:cs typeface="Segoe UI"/>
                </a:rPr>
                <a:t>Gemiddelde gebruiken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xdr:row>
          <xdr:rowOff>182880</xdr:rowOff>
        </xdr:from>
        <xdr:to>
          <xdr:col>2</xdr:col>
          <xdr:colOff>0</xdr:colOff>
          <xdr:row>6</xdr:row>
          <xdr:rowOff>7620</xdr:rowOff>
        </xdr:to>
        <xdr:sp macro="" textlink="">
          <xdr:nvSpPr>
            <xdr:cNvPr id="18434" name="Option Button 2" hidden="1">
              <a:extLst>
                <a:ext uri="{63B3BB69-23CF-44E3-9099-C40C66FF867C}">
                  <a14:compatExt spid="_x0000_s18434"/>
                </a:ext>
                <a:ext uri="{FF2B5EF4-FFF2-40B4-BE49-F238E27FC236}">
                  <a16:creationId xmlns:a16="http://schemas.microsoft.com/office/drawing/2014/main" id="{00000000-0008-0000-11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NL" sz="800" b="0" i="0" u="none" strike="noStrike" baseline="0">
                  <a:solidFill>
                    <a:srgbClr val="000000"/>
                  </a:solidFill>
                  <a:latin typeface="Segoe UI"/>
                  <a:cs typeface="Segoe UI"/>
                </a:rPr>
                <a:t>Eigen invoer gebruiken</a:t>
              </a:r>
            </a:p>
          </xdr:txBody>
        </xdr:sp>
        <xdr:clientData/>
      </xdr:twoCellAnchor>
    </mc:Choice>
    <mc:Fallback/>
  </mc:AlternateContent>
  <xdr:twoCellAnchor>
    <xdr:from>
      <xdr:col>4</xdr:col>
      <xdr:colOff>18144</xdr:colOff>
      <xdr:row>9</xdr:row>
      <xdr:rowOff>9071</xdr:rowOff>
    </xdr:from>
    <xdr:to>
      <xdr:col>4</xdr:col>
      <xdr:colOff>187087</xdr:colOff>
      <xdr:row>9</xdr:row>
      <xdr:rowOff>178599</xdr:rowOff>
    </xdr:to>
    <xdr:pic>
      <xdr:nvPicPr>
        <xdr:cNvPr id="5" name="Afbeelding 4">
          <a:extLst>
            <a:ext uri="{FF2B5EF4-FFF2-40B4-BE49-F238E27FC236}">
              <a16:creationId xmlns:a16="http://schemas.microsoft.com/office/drawing/2014/main" id="{00000000-0008-0000-1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9994" y="1126671"/>
          <a:ext cx="168943" cy="169528"/>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xdr:from>
      <xdr:col>4</xdr:col>
      <xdr:colOff>18144</xdr:colOff>
      <xdr:row>8</xdr:row>
      <xdr:rowOff>9072</xdr:rowOff>
    </xdr:from>
    <xdr:to>
      <xdr:col>4</xdr:col>
      <xdr:colOff>187087</xdr:colOff>
      <xdr:row>8</xdr:row>
      <xdr:rowOff>178600</xdr:rowOff>
    </xdr:to>
    <xdr:pic>
      <xdr:nvPicPr>
        <xdr:cNvPr id="6" name="Afbeelding 5">
          <a:extLst>
            <a:ext uri="{FF2B5EF4-FFF2-40B4-BE49-F238E27FC236}">
              <a16:creationId xmlns:a16="http://schemas.microsoft.com/office/drawing/2014/main" id="{00000000-0008-0000-11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9994" y="942522"/>
          <a:ext cx="168943" cy="169528"/>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xdr:from>
      <xdr:col>4</xdr:col>
      <xdr:colOff>18143</xdr:colOff>
      <xdr:row>10</xdr:row>
      <xdr:rowOff>18143</xdr:rowOff>
    </xdr:from>
    <xdr:to>
      <xdr:col>4</xdr:col>
      <xdr:colOff>187086</xdr:colOff>
      <xdr:row>11</xdr:row>
      <xdr:rowOff>6243</xdr:rowOff>
    </xdr:to>
    <xdr:pic>
      <xdr:nvPicPr>
        <xdr:cNvPr id="7" name="Afbeelding 6">
          <a:extLst>
            <a:ext uri="{FF2B5EF4-FFF2-40B4-BE49-F238E27FC236}">
              <a16:creationId xmlns:a16="http://schemas.microsoft.com/office/drawing/2014/main" id="{00000000-0008-0000-11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9993" y="1319893"/>
          <a:ext cx="168943" cy="17225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xdr:from>
      <xdr:col>1</xdr:col>
      <xdr:colOff>47628</xdr:colOff>
      <xdr:row>1</xdr:row>
      <xdr:rowOff>55562</xdr:rowOff>
    </xdr:from>
    <xdr:to>
      <xdr:col>1</xdr:col>
      <xdr:colOff>515628</xdr:colOff>
      <xdr:row>2</xdr:row>
      <xdr:rowOff>125000</xdr:rowOff>
    </xdr:to>
    <xdr:sp macro="" textlink="">
      <xdr:nvSpPr>
        <xdr:cNvPr id="10" name="Pijl: rechts 24">
          <a:hlinkClick xmlns:r="http://schemas.openxmlformats.org/officeDocument/2006/relationships" r:id="rId2"/>
          <a:extLst>
            <a:ext uri="{FF2B5EF4-FFF2-40B4-BE49-F238E27FC236}">
              <a16:creationId xmlns:a16="http://schemas.microsoft.com/office/drawing/2014/main" id="{00000000-0008-0000-1100-00000A000000}"/>
            </a:ext>
          </a:extLst>
        </xdr:cNvPr>
        <xdr:cNvSpPr>
          <a:spLocks/>
        </xdr:cNvSpPr>
      </xdr:nvSpPr>
      <xdr:spPr>
        <a:xfrm flipH="1">
          <a:off x="231778" y="239712"/>
          <a:ext cx="468000" cy="253588"/>
        </a:xfrm>
        <a:prstGeom prst="rightArrow">
          <a:avLst/>
        </a:prstGeom>
      </xdr:spPr>
      <xdr:style>
        <a:lnRef idx="0">
          <a:schemeClr val="dk1"/>
        </a:lnRef>
        <a:fillRef idx="3">
          <a:schemeClr val="dk1"/>
        </a:fillRef>
        <a:effectRef idx="3">
          <a:schemeClr val="dk1"/>
        </a:effectRef>
        <a:fontRef idx="minor">
          <a:schemeClr val="lt1"/>
        </a:fontRef>
      </xdr:style>
      <xdr:txBody>
        <a:bodyPr vertOverflow="clip" horzOverflow="clip" rtlCol="0" anchor="t"/>
        <a:lstStyle/>
        <a:p>
          <a:pPr algn="l"/>
          <a:endParaRPr lang="nl-NL" sz="1100"/>
        </a:p>
      </xdr:txBody>
    </xdr:sp>
    <xdr:clientData/>
  </xdr:twoCellAnchor>
</xdr:wsDr>
</file>

<file path=xl/drawings/drawing1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4</xdr:row>
          <xdr:rowOff>0</xdr:rowOff>
        </xdr:from>
        <xdr:to>
          <xdr:col>2</xdr:col>
          <xdr:colOff>0</xdr:colOff>
          <xdr:row>5</xdr:row>
          <xdr:rowOff>0</xdr:rowOff>
        </xdr:to>
        <xdr:sp macro="" textlink="">
          <xdr:nvSpPr>
            <xdr:cNvPr id="19457" name="Option Button 1" hidden="1">
              <a:extLst>
                <a:ext uri="{63B3BB69-23CF-44E3-9099-C40C66FF867C}">
                  <a14:compatExt spid="_x0000_s19457"/>
                </a:ext>
                <a:ext uri="{FF2B5EF4-FFF2-40B4-BE49-F238E27FC236}">
                  <a16:creationId xmlns:a16="http://schemas.microsoft.com/office/drawing/2014/main" id="{00000000-0008-0000-12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NL" sz="800" b="0" i="0" u="none" strike="noStrike" baseline="0">
                  <a:solidFill>
                    <a:srgbClr val="000000"/>
                  </a:solidFill>
                  <a:latin typeface="Segoe UI"/>
                  <a:cs typeface="Segoe UI"/>
                </a:rPr>
                <a:t>Gemiddelde gebruiken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5</xdr:row>
          <xdr:rowOff>0</xdr:rowOff>
        </xdr:from>
        <xdr:to>
          <xdr:col>2</xdr:col>
          <xdr:colOff>7620</xdr:colOff>
          <xdr:row>6</xdr:row>
          <xdr:rowOff>0</xdr:rowOff>
        </xdr:to>
        <xdr:sp macro="" textlink="">
          <xdr:nvSpPr>
            <xdr:cNvPr id="19458" name="Option Button 2" hidden="1">
              <a:extLst>
                <a:ext uri="{63B3BB69-23CF-44E3-9099-C40C66FF867C}">
                  <a14:compatExt spid="_x0000_s19458"/>
                </a:ext>
                <a:ext uri="{FF2B5EF4-FFF2-40B4-BE49-F238E27FC236}">
                  <a16:creationId xmlns:a16="http://schemas.microsoft.com/office/drawing/2014/main" id="{00000000-0008-0000-12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NL" sz="800" b="0" i="0" u="none" strike="noStrike" baseline="0">
                  <a:solidFill>
                    <a:srgbClr val="000000"/>
                  </a:solidFill>
                  <a:latin typeface="Segoe UI"/>
                  <a:cs typeface="Segoe UI"/>
                </a:rPr>
                <a:t>Eigen invoer gebruiken</a:t>
              </a:r>
            </a:p>
          </xdr:txBody>
        </xdr:sp>
        <xdr:clientData/>
      </xdr:twoCellAnchor>
    </mc:Choice>
    <mc:Fallback/>
  </mc:AlternateContent>
  <xdr:twoCellAnchor>
    <xdr:from>
      <xdr:col>4</xdr:col>
      <xdr:colOff>18144</xdr:colOff>
      <xdr:row>9</xdr:row>
      <xdr:rowOff>9071</xdr:rowOff>
    </xdr:from>
    <xdr:to>
      <xdr:col>4</xdr:col>
      <xdr:colOff>187087</xdr:colOff>
      <xdr:row>9</xdr:row>
      <xdr:rowOff>178599</xdr:rowOff>
    </xdr:to>
    <xdr:pic>
      <xdr:nvPicPr>
        <xdr:cNvPr id="5" name="Afbeelding 4">
          <a:extLst>
            <a:ext uri="{FF2B5EF4-FFF2-40B4-BE49-F238E27FC236}">
              <a16:creationId xmlns:a16="http://schemas.microsoft.com/office/drawing/2014/main" id="{00000000-0008-0000-12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9994" y="1126671"/>
          <a:ext cx="168943" cy="169528"/>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xdr:from>
      <xdr:col>4</xdr:col>
      <xdr:colOff>18144</xdr:colOff>
      <xdr:row>8</xdr:row>
      <xdr:rowOff>9072</xdr:rowOff>
    </xdr:from>
    <xdr:to>
      <xdr:col>4</xdr:col>
      <xdr:colOff>187087</xdr:colOff>
      <xdr:row>8</xdr:row>
      <xdr:rowOff>178600</xdr:rowOff>
    </xdr:to>
    <xdr:pic>
      <xdr:nvPicPr>
        <xdr:cNvPr id="6" name="Afbeelding 5">
          <a:extLst>
            <a:ext uri="{FF2B5EF4-FFF2-40B4-BE49-F238E27FC236}">
              <a16:creationId xmlns:a16="http://schemas.microsoft.com/office/drawing/2014/main" id="{00000000-0008-0000-12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9994" y="942522"/>
          <a:ext cx="168943" cy="169528"/>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xdr:from>
      <xdr:col>4</xdr:col>
      <xdr:colOff>18143</xdr:colOff>
      <xdr:row>10</xdr:row>
      <xdr:rowOff>18143</xdr:rowOff>
    </xdr:from>
    <xdr:to>
      <xdr:col>4</xdr:col>
      <xdr:colOff>187086</xdr:colOff>
      <xdr:row>11</xdr:row>
      <xdr:rowOff>6243</xdr:rowOff>
    </xdr:to>
    <xdr:pic>
      <xdr:nvPicPr>
        <xdr:cNvPr id="7" name="Afbeelding 6">
          <a:extLst>
            <a:ext uri="{FF2B5EF4-FFF2-40B4-BE49-F238E27FC236}">
              <a16:creationId xmlns:a16="http://schemas.microsoft.com/office/drawing/2014/main" id="{00000000-0008-0000-1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9993" y="1319893"/>
          <a:ext cx="168943" cy="17225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xdr:from>
      <xdr:col>1</xdr:col>
      <xdr:colOff>47628</xdr:colOff>
      <xdr:row>1</xdr:row>
      <xdr:rowOff>55562</xdr:rowOff>
    </xdr:from>
    <xdr:to>
      <xdr:col>1</xdr:col>
      <xdr:colOff>515628</xdr:colOff>
      <xdr:row>2</xdr:row>
      <xdr:rowOff>125000</xdr:rowOff>
    </xdr:to>
    <xdr:sp macro="" textlink="">
      <xdr:nvSpPr>
        <xdr:cNvPr id="10" name="Pijl: rechts 24">
          <a:hlinkClick xmlns:r="http://schemas.openxmlformats.org/officeDocument/2006/relationships" r:id="rId2"/>
          <a:extLst>
            <a:ext uri="{FF2B5EF4-FFF2-40B4-BE49-F238E27FC236}">
              <a16:creationId xmlns:a16="http://schemas.microsoft.com/office/drawing/2014/main" id="{00000000-0008-0000-1200-00000A000000}"/>
            </a:ext>
          </a:extLst>
        </xdr:cNvPr>
        <xdr:cNvSpPr>
          <a:spLocks/>
        </xdr:cNvSpPr>
      </xdr:nvSpPr>
      <xdr:spPr>
        <a:xfrm flipH="1">
          <a:off x="231778" y="239712"/>
          <a:ext cx="468000" cy="253588"/>
        </a:xfrm>
        <a:prstGeom prst="rightArrow">
          <a:avLst/>
        </a:prstGeom>
      </xdr:spPr>
      <xdr:style>
        <a:lnRef idx="0">
          <a:schemeClr val="dk1"/>
        </a:lnRef>
        <a:fillRef idx="3">
          <a:schemeClr val="dk1"/>
        </a:fillRef>
        <a:effectRef idx="3">
          <a:schemeClr val="dk1"/>
        </a:effectRef>
        <a:fontRef idx="minor">
          <a:schemeClr val="lt1"/>
        </a:fontRef>
      </xdr:style>
      <xdr:txBody>
        <a:bodyPr vertOverflow="clip" horzOverflow="clip" rtlCol="0" anchor="t"/>
        <a:lstStyle/>
        <a:p>
          <a:pPr algn="l"/>
          <a:endParaRPr lang="nl-NL"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617220</xdr:colOff>
          <xdr:row>7</xdr:row>
          <xdr:rowOff>167640</xdr:rowOff>
        </xdr:from>
        <xdr:to>
          <xdr:col>6</xdr:col>
          <xdr:colOff>800100</xdr:colOff>
          <xdr:row>9</xdr:row>
          <xdr:rowOff>22860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617220</xdr:colOff>
          <xdr:row>6</xdr:row>
          <xdr:rowOff>167640</xdr:rowOff>
        </xdr:from>
        <xdr:to>
          <xdr:col>6</xdr:col>
          <xdr:colOff>800100</xdr:colOff>
          <xdr:row>8</xdr:row>
          <xdr:rowOff>22860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617220</xdr:colOff>
          <xdr:row>8</xdr:row>
          <xdr:rowOff>175260</xdr:rowOff>
        </xdr:from>
        <xdr:to>
          <xdr:col>6</xdr:col>
          <xdr:colOff>800100</xdr:colOff>
          <xdr:row>10</xdr:row>
          <xdr:rowOff>22860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617220</xdr:colOff>
          <xdr:row>9</xdr:row>
          <xdr:rowOff>167640</xdr:rowOff>
        </xdr:from>
        <xdr:to>
          <xdr:col>6</xdr:col>
          <xdr:colOff>800100</xdr:colOff>
          <xdr:row>11</xdr:row>
          <xdr:rowOff>22860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617220</xdr:colOff>
          <xdr:row>10</xdr:row>
          <xdr:rowOff>167640</xdr:rowOff>
        </xdr:from>
        <xdr:to>
          <xdr:col>6</xdr:col>
          <xdr:colOff>800100</xdr:colOff>
          <xdr:row>12</xdr:row>
          <xdr:rowOff>22860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617220</xdr:colOff>
          <xdr:row>12</xdr:row>
          <xdr:rowOff>167640</xdr:rowOff>
        </xdr:from>
        <xdr:to>
          <xdr:col>6</xdr:col>
          <xdr:colOff>800100</xdr:colOff>
          <xdr:row>14</xdr:row>
          <xdr:rowOff>22860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617220</xdr:colOff>
          <xdr:row>13</xdr:row>
          <xdr:rowOff>167640</xdr:rowOff>
        </xdr:from>
        <xdr:to>
          <xdr:col>6</xdr:col>
          <xdr:colOff>800100</xdr:colOff>
          <xdr:row>15</xdr:row>
          <xdr:rowOff>22860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617220</xdr:colOff>
          <xdr:row>14</xdr:row>
          <xdr:rowOff>167640</xdr:rowOff>
        </xdr:from>
        <xdr:to>
          <xdr:col>6</xdr:col>
          <xdr:colOff>800100</xdr:colOff>
          <xdr:row>16</xdr:row>
          <xdr:rowOff>22860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617220</xdr:colOff>
          <xdr:row>15</xdr:row>
          <xdr:rowOff>167640</xdr:rowOff>
        </xdr:from>
        <xdr:to>
          <xdr:col>6</xdr:col>
          <xdr:colOff>800100</xdr:colOff>
          <xdr:row>17</xdr:row>
          <xdr:rowOff>22860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xdr:colOff>
      <xdr:row>0</xdr:row>
      <xdr:rowOff>71438</xdr:rowOff>
    </xdr:from>
    <xdr:to>
      <xdr:col>1</xdr:col>
      <xdr:colOff>1044001</xdr:colOff>
      <xdr:row>2</xdr:row>
      <xdr:rowOff>127000</xdr:rowOff>
    </xdr:to>
    <xdr:sp macro="" textlink="">
      <xdr:nvSpPr>
        <xdr:cNvPr id="4" name="Tekstvak 3">
          <a:hlinkClick xmlns:r="http://schemas.openxmlformats.org/officeDocument/2006/relationships" r:id="rId1"/>
          <a:extLst>
            <a:ext uri="{FF2B5EF4-FFF2-40B4-BE49-F238E27FC236}">
              <a16:creationId xmlns:a16="http://schemas.microsoft.com/office/drawing/2014/main" id="{00000000-0008-0000-0100-000004000000}"/>
            </a:ext>
          </a:extLst>
        </xdr:cNvPr>
        <xdr:cNvSpPr txBox="1"/>
      </xdr:nvSpPr>
      <xdr:spPr>
        <a:xfrm>
          <a:off x="190501" y="71438"/>
          <a:ext cx="1044000" cy="420687"/>
        </a:xfrm>
        <a:prstGeom prst="homePlate">
          <a:avLst/>
        </a:prstGeom>
        <a:solidFill>
          <a:schemeClr val="bg1">
            <a:lumMod val="95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nl-NL" sz="1400" b="1"/>
            <a:t>Inleiding</a:t>
          </a:r>
        </a:p>
      </xdr:txBody>
    </xdr:sp>
    <xdr:clientData/>
  </xdr:twoCellAnchor>
  <xdr:twoCellAnchor>
    <xdr:from>
      <xdr:col>1</xdr:col>
      <xdr:colOff>1120772</xdr:colOff>
      <xdr:row>0</xdr:row>
      <xdr:rowOff>80957</xdr:rowOff>
    </xdr:from>
    <xdr:to>
      <xdr:col>2</xdr:col>
      <xdr:colOff>172459</xdr:colOff>
      <xdr:row>2</xdr:row>
      <xdr:rowOff>136519</xdr:rowOff>
    </xdr:to>
    <xdr:sp macro="" textlink="">
      <xdr:nvSpPr>
        <xdr:cNvPr id="27" name="Tekstvak 26">
          <a:hlinkClick xmlns:r="http://schemas.openxmlformats.org/officeDocument/2006/relationships" r:id="rId2"/>
          <a:extLst>
            <a:ext uri="{FF2B5EF4-FFF2-40B4-BE49-F238E27FC236}">
              <a16:creationId xmlns:a16="http://schemas.microsoft.com/office/drawing/2014/main" id="{00000000-0008-0000-0100-00001B000000}"/>
            </a:ext>
          </a:extLst>
        </xdr:cNvPr>
        <xdr:cNvSpPr txBox="1"/>
      </xdr:nvSpPr>
      <xdr:spPr>
        <a:xfrm>
          <a:off x="1311272" y="80957"/>
          <a:ext cx="1044000" cy="420687"/>
        </a:xfrm>
        <a:prstGeom prst="homePlate">
          <a:avLst/>
        </a:prstGeom>
        <a:solidFill>
          <a:schemeClr val="accent2">
            <a:lumMod val="60000"/>
            <a:lumOff val="40000"/>
          </a:schemeClr>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nl-NL" sz="1400" b="1">
              <a:solidFill>
                <a:sysClr val="windowText" lastClr="000000"/>
              </a:solidFill>
            </a:rPr>
            <a:t>Extra</a:t>
          </a:r>
          <a:r>
            <a:rPr lang="nl-NL" sz="1400" b="1"/>
            <a:t> </a:t>
          </a:r>
          <a:r>
            <a:rPr lang="nl-NL" sz="1400" b="1">
              <a:solidFill>
                <a:sysClr val="windowText" lastClr="000000"/>
              </a:solidFill>
            </a:rPr>
            <a:t>land</a:t>
          </a:r>
        </a:p>
      </xdr:txBody>
    </xdr:sp>
    <xdr:clientData/>
  </xdr:twoCellAnchor>
  <xdr:twoCellAnchor>
    <xdr:from>
      <xdr:col>2</xdr:col>
      <xdr:colOff>238134</xdr:colOff>
      <xdr:row>0</xdr:row>
      <xdr:rowOff>87309</xdr:rowOff>
    </xdr:from>
    <xdr:to>
      <xdr:col>2</xdr:col>
      <xdr:colOff>1282134</xdr:colOff>
      <xdr:row>2</xdr:row>
      <xdr:rowOff>142871</xdr:rowOff>
    </xdr:to>
    <xdr:sp macro="" textlink="">
      <xdr:nvSpPr>
        <xdr:cNvPr id="28" name="Tekstvak 27">
          <a:hlinkClick xmlns:r="http://schemas.openxmlformats.org/officeDocument/2006/relationships" r:id="rId3"/>
          <a:extLst>
            <a:ext uri="{FF2B5EF4-FFF2-40B4-BE49-F238E27FC236}">
              <a16:creationId xmlns:a16="http://schemas.microsoft.com/office/drawing/2014/main" id="{00000000-0008-0000-0100-00001C000000}"/>
            </a:ext>
          </a:extLst>
        </xdr:cNvPr>
        <xdr:cNvSpPr txBox="1"/>
      </xdr:nvSpPr>
      <xdr:spPr>
        <a:xfrm>
          <a:off x="2420947" y="87309"/>
          <a:ext cx="1044000" cy="420687"/>
        </a:xfrm>
        <a:prstGeom prst="homePlate">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nl-NL" sz="1400" b="1"/>
            <a:t>Bouwplan</a:t>
          </a:r>
        </a:p>
      </xdr:txBody>
    </xdr:sp>
    <xdr:clientData/>
  </xdr:twoCellAnchor>
  <xdr:twoCellAnchor>
    <xdr:from>
      <xdr:col>2</xdr:col>
      <xdr:colOff>1349406</xdr:colOff>
      <xdr:row>0</xdr:row>
      <xdr:rowOff>87309</xdr:rowOff>
    </xdr:from>
    <xdr:to>
      <xdr:col>3</xdr:col>
      <xdr:colOff>409031</xdr:colOff>
      <xdr:row>2</xdr:row>
      <xdr:rowOff>142871</xdr:rowOff>
    </xdr:to>
    <xdr:sp macro="" textlink="">
      <xdr:nvSpPr>
        <xdr:cNvPr id="29" name="Tekstvak 28">
          <a:hlinkClick xmlns:r="http://schemas.openxmlformats.org/officeDocument/2006/relationships" r:id="rId4"/>
          <a:extLst>
            <a:ext uri="{FF2B5EF4-FFF2-40B4-BE49-F238E27FC236}">
              <a16:creationId xmlns:a16="http://schemas.microsoft.com/office/drawing/2014/main" id="{00000000-0008-0000-0100-00001D000000}"/>
            </a:ext>
          </a:extLst>
        </xdr:cNvPr>
        <xdr:cNvSpPr txBox="1"/>
      </xdr:nvSpPr>
      <xdr:spPr>
        <a:xfrm>
          <a:off x="3532219" y="87309"/>
          <a:ext cx="1044000" cy="420687"/>
        </a:xfrm>
        <a:prstGeom prst="homePlate">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nl-NL" sz="1400" b="1"/>
            <a:t>Voer</a:t>
          </a:r>
          <a:endParaRPr lang="nl-NL" sz="1600" b="1"/>
        </a:p>
      </xdr:txBody>
    </xdr:sp>
    <xdr:clientData/>
  </xdr:twoCellAnchor>
  <xdr:twoCellAnchor>
    <xdr:from>
      <xdr:col>3</xdr:col>
      <xdr:colOff>476260</xdr:colOff>
      <xdr:row>0</xdr:row>
      <xdr:rowOff>95247</xdr:rowOff>
    </xdr:from>
    <xdr:to>
      <xdr:col>3</xdr:col>
      <xdr:colOff>1520260</xdr:colOff>
      <xdr:row>2</xdr:row>
      <xdr:rowOff>150809</xdr:rowOff>
    </xdr:to>
    <xdr:sp macro="" textlink="">
      <xdr:nvSpPr>
        <xdr:cNvPr id="30" name="Tekstvak 29">
          <a:hlinkClick xmlns:r="http://schemas.openxmlformats.org/officeDocument/2006/relationships" r:id="rId5"/>
          <a:extLst>
            <a:ext uri="{FF2B5EF4-FFF2-40B4-BE49-F238E27FC236}">
              <a16:creationId xmlns:a16="http://schemas.microsoft.com/office/drawing/2014/main" id="{00000000-0008-0000-0100-00001E000000}"/>
            </a:ext>
          </a:extLst>
        </xdr:cNvPr>
        <xdr:cNvSpPr txBox="1"/>
      </xdr:nvSpPr>
      <xdr:spPr>
        <a:xfrm>
          <a:off x="4643448" y="95247"/>
          <a:ext cx="1044000" cy="420687"/>
        </a:xfrm>
        <a:prstGeom prst="homePlate">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nl-NL" sz="1050" b="1"/>
            <a:t>Melk-productie</a:t>
          </a:r>
          <a:endParaRPr lang="nl-NL" sz="1400" b="1"/>
        </a:p>
      </xdr:txBody>
    </xdr:sp>
    <xdr:clientData/>
  </xdr:twoCellAnchor>
  <xdr:twoCellAnchor>
    <xdr:from>
      <xdr:col>3</xdr:col>
      <xdr:colOff>1589092</xdr:colOff>
      <xdr:row>0</xdr:row>
      <xdr:rowOff>96833</xdr:rowOff>
    </xdr:from>
    <xdr:to>
      <xdr:col>4</xdr:col>
      <xdr:colOff>1013842</xdr:colOff>
      <xdr:row>2</xdr:row>
      <xdr:rowOff>152395</xdr:rowOff>
    </xdr:to>
    <xdr:sp macro="" textlink="">
      <xdr:nvSpPr>
        <xdr:cNvPr id="31" name="Tekstvak 30">
          <a:hlinkClick xmlns:r="http://schemas.openxmlformats.org/officeDocument/2006/relationships" r:id="rId6"/>
          <a:extLst>
            <a:ext uri="{FF2B5EF4-FFF2-40B4-BE49-F238E27FC236}">
              <a16:creationId xmlns:a16="http://schemas.microsoft.com/office/drawing/2014/main" id="{00000000-0008-0000-0100-00001F000000}"/>
            </a:ext>
          </a:extLst>
        </xdr:cNvPr>
        <xdr:cNvSpPr txBox="1"/>
      </xdr:nvSpPr>
      <xdr:spPr>
        <a:xfrm>
          <a:off x="5756280" y="96833"/>
          <a:ext cx="1044000" cy="420687"/>
        </a:xfrm>
        <a:prstGeom prst="homePlate">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nl-NL" sz="1000" b="1"/>
            <a:t>Toegerekende kosten</a:t>
          </a:r>
        </a:p>
      </xdr:txBody>
    </xdr:sp>
    <xdr:clientData/>
  </xdr:twoCellAnchor>
  <xdr:twoCellAnchor>
    <xdr:from>
      <xdr:col>4</xdr:col>
      <xdr:colOff>1082682</xdr:colOff>
      <xdr:row>0</xdr:row>
      <xdr:rowOff>106355</xdr:rowOff>
    </xdr:from>
    <xdr:to>
      <xdr:col>5</xdr:col>
      <xdr:colOff>507432</xdr:colOff>
      <xdr:row>2</xdr:row>
      <xdr:rowOff>161917</xdr:rowOff>
    </xdr:to>
    <xdr:sp macro="" textlink="">
      <xdr:nvSpPr>
        <xdr:cNvPr id="32" name="Tekstvak 31">
          <a:hlinkClick xmlns:r="http://schemas.openxmlformats.org/officeDocument/2006/relationships" r:id="rId7"/>
          <a:extLst>
            <a:ext uri="{FF2B5EF4-FFF2-40B4-BE49-F238E27FC236}">
              <a16:creationId xmlns:a16="http://schemas.microsoft.com/office/drawing/2014/main" id="{00000000-0008-0000-0100-000020000000}"/>
            </a:ext>
          </a:extLst>
        </xdr:cNvPr>
        <xdr:cNvSpPr txBox="1"/>
      </xdr:nvSpPr>
      <xdr:spPr>
        <a:xfrm>
          <a:off x="6869120" y="106355"/>
          <a:ext cx="1044000" cy="420687"/>
        </a:xfrm>
        <a:prstGeom prst="homePlate">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nl-NL" sz="1400" b="1"/>
            <a:t>Resultaat</a:t>
          </a:r>
        </a:p>
      </xdr:txBody>
    </xdr:sp>
    <xdr:clientData/>
  </xdr:twoCellAnchor>
</xdr:wsDr>
</file>

<file path=xl/drawings/drawing2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4</xdr:row>
          <xdr:rowOff>0</xdr:rowOff>
        </xdr:from>
        <xdr:to>
          <xdr:col>2</xdr:col>
          <xdr:colOff>0</xdr:colOff>
          <xdr:row>5</xdr:row>
          <xdr:rowOff>0</xdr:rowOff>
        </xdr:to>
        <xdr:sp macro="" textlink="">
          <xdr:nvSpPr>
            <xdr:cNvPr id="20481" name="Option Button 1" hidden="1">
              <a:extLst>
                <a:ext uri="{63B3BB69-23CF-44E3-9099-C40C66FF867C}">
                  <a14:compatExt spid="_x0000_s20481"/>
                </a:ext>
                <a:ext uri="{FF2B5EF4-FFF2-40B4-BE49-F238E27FC236}">
                  <a16:creationId xmlns:a16="http://schemas.microsoft.com/office/drawing/2014/main" id="{00000000-0008-0000-13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NL" sz="800" b="0" i="0" u="none" strike="noStrike" baseline="0">
                  <a:solidFill>
                    <a:srgbClr val="000000"/>
                  </a:solidFill>
                  <a:latin typeface="Segoe UI"/>
                  <a:cs typeface="Segoe UI"/>
                </a:rPr>
                <a:t>Gemiddelde gebruiken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0</xdr:rowOff>
        </xdr:to>
        <xdr:sp macro="" textlink="">
          <xdr:nvSpPr>
            <xdr:cNvPr id="20482" name="Option Button 2" hidden="1">
              <a:extLst>
                <a:ext uri="{63B3BB69-23CF-44E3-9099-C40C66FF867C}">
                  <a14:compatExt spid="_x0000_s20482"/>
                </a:ext>
                <a:ext uri="{FF2B5EF4-FFF2-40B4-BE49-F238E27FC236}">
                  <a16:creationId xmlns:a16="http://schemas.microsoft.com/office/drawing/2014/main" id="{00000000-0008-0000-13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NL" sz="800" b="0" i="0" u="none" strike="noStrike" baseline="0">
                  <a:solidFill>
                    <a:srgbClr val="000000"/>
                  </a:solidFill>
                  <a:latin typeface="Segoe UI"/>
                  <a:cs typeface="Segoe UI"/>
                </a:rPr>
                <a:t>Eigen invoer gebruiken</a:t>
              </a:r>
            </a:p>
          </xdr:txBody>
        </xdr:sp>
        <xdr:clientData/>
      </xdr:twoCellAnchor>
    </mc:Choice>
    <mc:Fallback/>
  </mc:AlternateContent>
  <xdr:twoCellAnchor>
    <xdr:from>
      <xdr:col>4</xdr:col>
      <xdr:colOff>18144</xdr:colOff>
      <xdr:row>9</xdr:row>
      <xdr:rowOff>9071</xdr:rowOff>
    </xdr:from>
    <xdr:to>
      <xdr:col>4</xdr:col>
      <xdr:colOff>187087</xdr:colOff>
      <xdr:row>9</xdr:row>
      <xdr:rowOff>178599</xdr:rowOff>
    </xdr:to>
    <xdr:pic>
      <xdr:nvPicPr>
        <xdr:cNvPr id="5" name="Afbeelding 4">
          <a:extLst>
            <a:ext uri="{FF2B5EF4-FFF2-40B4-BE49-F238E27FC236}">
              <a16:creationId xmlns:a16="http://schemas.microsoft.com/office/drawing/2014/main" id="{00000000-0008-0000-13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9994" y="1126671"/>
          <a:ext cx="168943" cy="169528"/>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xdr:from>
      <xdr:col>4</xdr:col>
      <xdr:colOff>18144</xdr:colOff>
      <xdr:row>8</xdr:row>
      <xdr:rowOff>9072</xdr:rowOff>
    </xdr:from>
    <xdr:to>
      <xdr:col>4</xdr:col>
      <xdr:colOff>187087</xdr:colOff>
      <xdr:row>8</xdr:row>
      <xdr:rowOff>178600</xdr:rowOff>
    </xdr:to>
    <xdr:pic>
      <xdr:nvPicPr>
        <xdr:cNvPr id="6" name="Afbeelding 5">
          <a:extLst>
            <a:ext uri="{FF2B5EF4-FFF2-40B4-BE49-F238E27FC236}">
              <a16:creationId xmlns:a16="http://schemas.microsoft.com/office/drawing/2014/main" id="{00000000-0008-0000-13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9994" y="942522"/>
          <a:ext cx="168943" cy="169528"/>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xdr:from>
      <xdr:col>4</xdr:col>
      <xdr:colOff>18143</xdr:colOff>
      <xdr:row>10</xdr:row>
      <xdr:rowOff>18143</xdr:rowOff>
    </xdr:from>
    <xdr:to>
      <xdr:col>4</xdr:col>
      <xdr:colOff>187086</xdr:colOff>
      <xdr:row>11</xdr:row>
      <xdr:rowOff>6243</xdr:rowOff>
    </xdr:to>
    <xdr:pic>
      <xdr:nvPicPr>
        <xdr:cNvPr id="7" name="Afbeelding 6">
          <a:extLst>
            <a:ext uri="{FF2B5EF4-FFF2-40B4-BE49-F238E27FC236}">
              <a16:creationId xmlns:a16="http://schemas.microsoft.com/office/drawing/2014/main" id="{00000000-0008-0000-13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9993" y="1319893"/>
          <a:ext cx="168943" cy="17225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xdr:from>
      <xdr:col>1</xdr:col>
      <xdr:colOff>47628</xdr:colOff>
      <xdr:row>1</xdr:row>
      <xdr:rowOff>55562</xdr:rowOff>
    </xdr:from>
    <xdr:to>
      <xdr:col>1</xdr:col>
      <xdr:colOff>515628</xdr:colOff>
      <xdr:row>2</xdr:row>
      <xdr:rowOff>125000</xdr:rowOff>
    </xdr:to>
    <xdr:sp macro="" textlink="">
      <xdr:nvSpPr>
        <xdr:cNvPr id="10" name="Pijl: rechts 24">
          <a:hlinkClick xmlns:r="http://schemas.openxmlformats.org/officeDocument/2006/relationships" r:id="rId2"/>
          <a:extLst>
            <a:ext uri="{FF2B5EF4-FFF2-40B4-BE49-F238E27FC236}">
              <a16:creationId xmlns:a16="http://schemas.microsoft.com/office/drawing/2014/main" id="{00000000-0008-0000-1300-00000A000000}"/>
            </a:ext>
          </a:extLst>
        </xdr:cNvPr>
        <xdr:cNvSpPr>
          <a:spLocks/>
        </xdr:cNvSpPr>
      </xdr:nvSpPr>
      <xdr:spPr>
        <a:xfrm flipH="1">
          <a:off x="231778" y="239712"/>
          <a:ext cx="468000" cy="253588"/>
        </a:xfrm>
        <a:prstGeom prst="rightArrow">
          <a:avLst/>
        </a:prstGeom>
      </xdr:spPr>
      <xdr:style>
        <a:lnRef idx="0">
          <a:schemeClr val="dk1"/>
        </a:lnRef>
        <a:fillRef idx="3">
          <a:schemeClr val="dk1"/>
        </a:fillRef>
        <a:effectRef idx="3">
          <a:schemeClr val="dk1"/>
        </a:effectRef>
        <a:fontRef idx="minor">
          <a:schemeClr val="lt1"/>
        </a:fontRef>
      </xdr:style>
      <xdr:txBody>
        <a:bodyPr vertOverflow="clip" horzOverflow="clip" rtlCol="0" anchor="t"/>
        <a:lstStyle/>
        <a:p>
          <a:pPr algn="l"/>
          <a:endParaRPr lang="nl-NL" sz="1100"/>
        </a:p>
      </xdr:txBody>
    </xdr:sp>
    <xdr:clientData/>
  </xdr:twoCellAnchor>
</xdr:wsDr>
</file>

<file path=xl/drawings/drawing2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4</xdr:row>
          <xdr:rowOff>0</xdr:rowOff>
        </xdr:from>
        <xdr:to>
          <xdr:col>2</xdr:col>
          <xdr:colOff>0</xdr:colOff>
          <xdr:row>5</xdr:row>
          <xdr:rowOff>0</xdr:rowOff>
        </xdr:to>
        <xdr:sp macro="" textlink="">
          <xdr:nvSpPr>
            <xdr:cNvPr id="28673" name="Option Button 1" hidden="1">
              <a:extLst>
                <a:ext uri="{63B3BB69-23CF-44E3-9099-C40C66FF867C}">
                  <a14:compatExt spid="_x0000_s28673"/>
                </a:ext>
                <a:ext uri="{FF2B5EF4-FFF2-40B4-BE49-F238E27FC236}">
                  <a16:creationId xmlns:a16="http://schemas.microsoft.com/office/drawing/2014/main" id="{00000000-0008-0000-1400-00000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NL" sz="800" b="0" i="0" u="none" strike="noStrike" baseline="0">
                  <a:solidFill>
                    <a:srgbClr val="000000"/>
                  </a:solidFill>
                  <a:latin typeface="Segoe UI"/>
                  <a:cs typeface="Segoe UI"/>
                </a:rPr>
                <a:t>Gemiddelde gebruiken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0</xdr:rowOff>
        </xdr:to>
        <xdr:sp macro="" textlink="">
          <xdr:nvSpPr>
            <xdr:cNvPr id="28674" name="Option Button 2" hidden="1">
              <a:extLst>
                <a:ext uri="{63B3BB69-23CF-44E3-9099-C40C66FF867C}">
                  <a14:compatExt spid="_x0000_s28674"/>
                </a:ext>
                <a:ext uri="{FF2B5EF4-FFF2-40B4-BE49-F238E27FC236}">
                  <a16:creationId xmlns:a16="http://schemas.microsoft.com/office/drawing/2014/main" id="{00000000-0008-0000-1400-00000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NL" sz="800" b="0" i="0" u="none" strike="noStrike" baseline="0">
                  <a:solidFill>
                    <a:srgbClr val="000000"/>
                  </a:solidFill>
                  <a:latin typeface="Segoe UI"/>
                  <a:cs typeface="Segoe UI"/>
                </a:rPr>
                <a:t>Eigen invoer gebruiken</a:t>
              </a:r>
            </a:p>
          </xdr:txBody>
        </xdr:sp>
        <xdr:clientData/>
      </xdr:twoCellAnchor>
    </mc:Choice>
    <mc:Fallback/>
  </mc:AlternateContent>
  <xdr:twoCellAnchor>
    <xdr:from>
      <xdr:col>4</xdr:col>
      <xdr:colOff>18144</xdr:colOff>
      <xdr:row>9</xdr:row>
      <xdr:rowOff>9071</xdr:rowOff>
    </xdr:from>
    <xdr:to>
      <xdr:col>4</xdr:col>
      <xdr:colOff>187087</xdr:colOff>
      <xdr:row>9</xdr:row>
      <xdr:rowOff>178599</xdr:rowOff>
    </xdr:to>
    <xdr:pic>
      <xdr:nvPicPr>
        <xdr:cNvPr id="5" name="Afbeelding 4">
          <a:extLst>
            <a:ext uri="{FF2B5EF4-FFF2-40B4-BE49-F238E27FC236}">
              <a16:creationId xmlns:a16="http://schemas.microsoft.com/office/drawing/2014/main" id="{00000000-0008-0000-14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9994" y="1126671"/>
          <a:ext cx="168943" cy="169528"/>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xdr:from>
      <xdr:col>4</xdr:col>
      <xdr:colOff>18144</xdr:colOff>
      <xdr:row>8</xdr:row>
      <xdr:rowOff>9072</xdr:rowOff>
    </xdr:from>
    <xdr:to>
      <xdr:col>4</xdr:col>
      <xdr:colOff>187087</xdr:colOff>
      <xdr:row>8</xdr:row>
      <xdr:rowOff>178600</xdr:rowOff>
    </xdr:to>
    <xdr:pic>
      <xdr:nvPicPr>
        <xdr:cNvPr id="6" name="Afbeelding 5">
          <a:extLst>
            <a:ext uri="{FF2B5EF4-FFF2-40B4-BE49-F238E27FC236}">
              <a16:creationId xmlns:a16="http://schemas.microsoft.com/office/drawing/2014/main" id="{00000000-0008-0000-14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9994" y="942522"/>
          <a:ext cx="168943" cy="169528"/>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xdr:from>
      <xdr:col>4</xdr:col>
      <xdr:colOff>18143</xdr:colOff>
      <xdr:row>10</xdr:row>
      <xdr:rowOff>18143</xdr:rowOff>
    </xdr:from>
    <xdr:to>
      <xdr:col>4</xdr:col>
      <xdr:colOff>187086</xdr:colOff>
      <xdr:row>11</xdr:row>
      <xdr:rowOff>6243</xdr:rowOff>
    </xdr:to>
    <xdr:pic>
      <xdr:nvPicPr>
        <xdr:cNvPr id="7" name="Afbeelding 6">
          <a:extLst>
            <a:ext uri="{FF2B5EF4-FFF2-40B4-BE49-F238E27FC236}">
              <a16:creationId xmlns:a16="http://schemas.microsoft.com/office/drawing/2014/main" id="{00000000-0008-0000-14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9993" y="1319893"/>
          <a:ext cx="168943" cy="17225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xdr:from>
      <xdr:col>1</xdr:col>
      <xdr:colOff>47628</xdr:colOff>
      <xdr:row>1</xdr:row>
      <xdr:rowOff>55562</xdr:rowOff>
    </xdr:from>
    <xdr:to>
      <xdr:col>1</xdr:col>
      <xdr:colOff>515628</xdr:colOff>
      <xdr:row>2</xdr:row>
      <xdr:rowOff>125000</xdr:rowOff>
    </xdr:to>
    <xdr:sp macro="" textlink="">
      <xdr:nvSpPr>
        <xdr:cNvPr id="10" name="Pijl: rechts 24">
          <a:hlinkClick xmlns:r="http://schemas.openxmlformats.org/officeDocument/2006/relationships" r:id="rId2"/>
          <a:extLst>
            <a:ext uri="{FF2B5EF4-FFF2-40B4-BE49-F238E27FC236}">
              <a16:creationId xmlns:a16="http://schemas.microsoft.com/office/drawing/2014/main" id="{00000000-0008-0000-1400-00000A000000}"/>
            </a:ext>
          </a:extLst>
        </xdr:cNvPr>
        <xdr:cNvSpPr>
          <a:spLocks/>
        </xdr:cNvSpPr>
      </xdr:nvSpPr>
      <xdr:spPr>
        <a:xfrm flipH="1">
          <a:off x="231778" y="239712"/>
          <a:ext cx="468000" cy="253588"/>
        </a:xfrm>
        <a:prstGeom prst="rightArrow">
          <a:avLst/>
        </a:prstGeom>
      </xdr:spPr>
      <xdr:style>
        <a:lnRef idx="0">
          <a:schemeClr val="dk1"/>
        </a:lnRef>
        <a:fillRef idx="3">
          <a:schemeClr val="dk1"/>
        </a:fillRef>
        <a:effectRef idx="3">
          <a:schemeClr val="dk1"/>
        </a:effectRef>
        <a:fontRef idx="minor">
          <a:schemeClr val="lt1"/>
        </a:fontRef>
      </xdr:style>
      <xdr:txBody>
        <a:bodyPr vertOverflow="clip" horzOverflow="clip" rtlCol="0" anchor="t"/>
        <a:lstStyle/>
        <a:p>
          <a:pPr algn="l"/>
          <a:endParaRPr lang="nl-NL" sz="1100"/>
        </a:p>
      </xdr:txBody>
    </xdr:sp>
    <xdr:clientData/>
  </xdr:twoCellAnchor>
</xdr:wsDr>
</file>

<file path=xl/drawings/drawing2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4</xdr:row>
          <xdr:rowOff>0</xdr:rowOff>
        </xdr:from>
        <xdr:to>
          <xdr:col>1</xdr:col>
          <xdr:colOff>2042160</xdr:colOff>
          <xdr:row>5</xdr:row>
          <xdr:rowOff>0</xdr:rowOff>
        </xdr:to>
        <xdr:sp macro="" textlink="">
          <xdr:nvSpPr>
            <xdr:cNvPr id="22529" name="Option Button 1" hidden="1">
              <a:extLst>
                <a:ext uri="{63B3BB69-23CF-44E3-9099-C40C66FF867C}">
                  <a14:compatExt spid="_x0000_s22529"/>
                </a:ext>
                <a:ext uri="{FF2B5EF4-FFF2-40B4-BE49-F238E27FC236}">
                  <a16:creationId xmlns:a16="http://schemas.microsoft.com/office/drawing/2014/main" id="{00000000-0008-0000-15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NL" sz="800" b="0" i="0" u="none" strike="noStrike" baseline="0">
                  <a:solidFill>
                    <a:srgbClr val="000000"/>
                  </a:solidFill>
                  <a:latin typeface="Segoe UI"/>
                  <a:cs typeface="Segoe UI"/>
                </a:rPr>
                <a:t>Gemiddelde gebruiken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xdr:row>
          <xdr:rowOff>182880</xdr:rowOff>
        </xdr:from>
        <xdr:to>
          <xdr:col>2</xdr:col>
          <xdr:colOff>0</xdr:colOff>
          <xdr:row>6</xdr:row>
          <xdr:rowOff>7620</xdr:rowOff>
        </xdr:to>
        <xdr:sp macro="" textlink="">
          <xdr:nvSpPr>
            <xdr:cNvPr id="22530" name="Option Button 2" hidden="1">
              <a:extLst>
                <a:ext uri="{63B3BB69-23CF-44E3-9099-C40C66FF867C}">
                  <a14:compatExt spid="_x0000_s22530"/>
                </a:ext>
                <a:ext uri="{FF2B5EF4-FFF2-40B4-BE49-F238E27FC236}">
                  <a16:creationId xmlns:a16="http://schemas.microsoft.com/office/drawing/2014/main" id="{00000000-0008-0000-15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NL" sz="800" b="0" i="0" u="none" strike="noStrike" baseline="0">
                  <a:solidFill>
                    <a:srgbClr val="000000"/>
                  </a:solidFill>
                  <a:latin typeface="Segoe UI"/>
                  <a:cs typeface="Segoe UI"/>
                </a:rPr>
                <a:t>Eigen invoer gebruiken</a:t>
              </a:r>
            </a:p>
          </xdr:txBody>
        </xdr:sp>
        <xdr:clientData/>
      </xdr:twoCellAnchor>
    </mc:Choice>
    <mc:Fallback/>
  </mc:AlternateContent>
  <xdr:twoCellAnchor>
    <xdr:from>
      <xdr:col>4</xdr:col>
      <xdr:colOff>18144</xdr:colOff>
      <xdr:row>9</xdr:row>
      <xdr:rowOff>9071</xdr:rowOff>
    </xdr:from>
    <xdr:to>
      <xdr:col>4</xdr:col>
      <xdr:colOff>187087</xdr:colOff>
      <xdr:row>9</xdr:row>
      <xdr:rowOff>178599</xdr:rowOff>
    </xdr:to>
    <xdr:pic>
      <xdr:nvPicPr>
        <xdr:cNvPr id="5" name="Afbeelding 4">
          <a:extLst>
            <a:ext uri="{FF2B5EF4-FFF2-40B4-BE49-F238E27FC236}">
              <a16:creationId xmlns:a16="http://schemas.microsoft.com/office/drawing/2014/main" id="{00000000-0008-0000-15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9994" y="1126671"/>
          <a:ext cx="168943" cy="169528"/>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xdr:from>
      <xdr:col>4</xdr:col>
      <xdr:colOff>18144</xdr:colOff>
      <xdr:row>8</xdr:row>
      <xdr:rowOff>9072</xdr:rowOff>
    </xdr:from>
    <xdr:to>
      <xdr:col>4</xdr:col>
      <xdr:colOff>187087</xdr:colOff>
      <xdr:row>8</xdr:row>
      <xdr:rowOff>178600</xdr:rowOff>
    </xdr:to>
    <xdr:pic>
      <xdr:nvPicPr>
        <xdr:cNvPr id="6" name="Afbeelding 5">
          <a:extLst>
            <a:ext uri="{FF2B5EF4-FFF2-40B4-BE49-F238E27FC236}">
              <a16:creationId xmlns:a16="http://schemas.microsoft.com/office/drawing/2014/main" id="{00000000-0008-0000-15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9994" y="942522"/>
          <a:ext cx="168943" cy="169528"/>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xdr:from>
      <xdr:col>4</xdr:col>
      <xdr:colOff>18143</xdr:colOff>
      <xdr:row>10</xdr:row>
      <xdr:rowOff>18143</xdr:rowOff>
    </xdr:from>
    <xdr:to>
      <xdr:col>4</xdr:col>
      <xdr:colOff>187086</xdr:colOff>
      <xdr:row>11</xdr:row>
      <xdr:rowOff>6243</xdr:rowOff>
    </xdr:to>
    <xdr:pic>
      <xdr:nvPicPr>
        <xdr:cNvPr id="7" name="Afbeelding 6">
          <a:extLst>
            <a:ext uri="{FF2B5EF4-FFF2-40B4-BE49-F238E27FC236}">
              <a16:creationId xmlns:a16="http://schemas.microsoft.com/office/drawing/2014/main" id="{00000000-0008-0000-15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9993" y="1319893"/>
          <a:ext cx="168943" cy="17225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xdr:from>
      <xdr:col>1</xdr:col>
      <xdr:colOff>47628</xdr:colOff>
      <xdr:row>1</xdr:row>
      <xdr:rowOff>55562</xdr:rowOff>
    </xdr:from>
    <xdr:to>
      <xdr:col>1</xdr:col>
      <xdr:colOff>515628</xdr:colOff>
      <xdr:row>2</xdr:row>
      <xdr:rowOff>125000</xdr:rowOff>
    </xdr:to>
    <xdr:sp macro="" textlink="">
      <xdr:nvSpPr>
        <xdr:cNvPr id="10" name="Pijl: rechts 24">
          <a:hlinkClick xmlns:r="http://schemas.openxmlformats.org/officeDocument/2006/relationships" r:id="rId2"/>
          <a:extLst>
            <a:ext uri="{FF2B5EF4-FFF2-40B4-BE49-F238E27FC236}">
              <a16:creationId xmlns:a16="http://schemas.microsoft.com/office/drawing/2014/main" id="{00000000-0008-0000-1500-00000A000000}"/>
            </a:ext>
          </a:extLst>
        </xdr:cNvPr>
        <xdr:cNvSpPr>
          <a:spLocks/>
        </xdr:cNvSpPr>
      </xdr:nvSpPr>
      <xdr:spPr>
        <a:xfrm flipH="1">
          <a:off x="231778" y="239712"/>
          <a:ext cx="468000" cy="253588"/>
        </a:xfrm>
        <a:prstGeom prst="rightArrow">
          <a:avLst/>
        </a:prstGeom>
      </xdr:spPr>
      <xdr:style>
        <a:lnRef idx="0">
          <a:schemeClr val="dk1"/>
        </a:lnRef>
        <a:fillRef idx="3">
          <a:schemeClr val="dk1"/>
        </a:fillRef>
        <a:effectRef idx="3">
          <a:schemeClr val="dk1"/>
        </a:effectRef>
        <a:fontRef idx="minor">
          <a:schemeClr val="lt1"/>
        </a:fontRef>
      </xdr:style>
      <xdr:txBody>
        <a:bodyPr vertOverflow="clip" horzOverflow="clip" rtlCol="0" anchor="t"/>
        <a:lstStyle/>
        <a:p>
          <a:pPr algn="l"/>
          <a:endParaRPr lang="nl-NL" sz="1100"/>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xdr:col>
      <xdr:colOff>47628</xdr:colOff>
      <xdr:row>1</xdr:row>
      <xdr:rowOff>55562</xdr:rowOff>
    </xdr:from>
    <xdr:to>
      <xdr:col>1</xdr:col>
      <xdr:colOff>515628</xdr:colOff>
      <xdr:row>2</xdr:row>
      <xdr:rowOff>125000</xdr:rowOff>
    </xdr:to>
    <xdr:sp macro="" textlink="">
      <xdr:nvSpPr>
        <xdr:cNvPr id="7" name="Pijl: rechts 24">
          <a:hlinkClick xmlns:r="http://schemas.openxmlformats.org/officeDocument/2006/relationships" r:id="rId1"/>
          <a:extLst>
            <a:ext uri="{FF2B5EF4-FFF2-40B4-BE49-F238E27FC236}">
              <a16:creationId xmlns:a16="http://schemas.microsoft.com/office/drawing/2014/main" id="{00000000-0008-0000-1600-000007000000}"/>
            </a:ext>
          </a:extLst>
        </xdr:cNvPr>
        <xdr:cNvSpPr>
          <a:spLocks/>
        </xdr:cNvSpPr>
      </xdr:nvSpPr>
      <xdr:spPr>
        <a:xfrm flipH="1">
          <a:off x="238128" y="239712"/>
          <a:ext cx="468000" cy="253588"/>
        </a:xfrm>
        <a:prstGeom prst="rightArrow">
          <a:avLst/>
        </a:prstGeom>
      </xdr:spPr>
      <xdr:style>
        <a:lnRef idx="0">
          <a:schemeClr val="dk1"/>
        </a:lnRef>
        <a:fillRef idx="3">
          <a:schemeClr val="dk1"/>
        </a:fillRef>
        <a:effectRef idx="3">
          <a:schemeClr val="dk1"/>
        </a:effectRef>
        <a:fontRef idx="minor">
          <a:schemeClr val="lt1"/>
        </a:fontRef>
      </xdr:style>
      <xdr:txBody>
        <a:bodyPr vertOverflow="clip" horzOverflow="clip" rtlCol="0" anchor="t"/>
        <a:lstStyle/>
        <a:p>
          <a:pPr algn="l"/>
          <a:endParaRPr lang="nl-NL" sz="1100"/>
        </a:p>
      </xdr:txBody>
    </xdr:sp>
    <xdr:clientData/>
  </xdr:twoCellAnchor>
</xdr:wsDr>
</file>

<file path=xl/drawings/drawing2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4</xdr:row>
          <xdr:rowOff>0</xdr:rowOff>
        </xdr:from>
        <xdr:to>
          <xdr:col>2</xdr:col>
          <xdr:colOff>0</xdr:colOff>
          <xdr:row>5</xdr:row>
          <xdr:rowOff>7620</xdr:rowOff>
        </xdr:to>
        <xdr:sp macro="" textlink="">
          <xdr:nvSpPr>
            <xdr:cNvPr id="23553" name="Option Button 1" hidden="1">
              <a:extLst>
                <a:ext uri="{63B3BB69-23CF-44E3-9099-C40C66FF867C}">
                  <a14:compatExt spid="_x0000_s23553"/>
                </a:ext>
                <a:ext uri="{FF2B5EF4-FFF2-40B4-BE49-F238E27FC236}">
                  <a16:creationId xmlns:a16="http://schemas.microsoft.com/office/drawing/2014/main" id="{00000000-0008-0000-17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NL" sz="800" b="0" i="0" u="none" strike="noStrike" baseline="0">
                  <a:solidFill>
                    <a:srgbClr val="000000"/>
                  </a:solidFill>
                  <a:latin typeface="Segoe UI"/>
                  <a:cs typeface="Segoe UI"/>
                </a:rPr>
                <a:t>Gemiddelde gebruiken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xdr:row>
          <xdr:rowOff>182880</xdr:rowOff>
        </xdr:from>
        <xdr:to>
          <xdr:col>2</xdr:col>
          <xdr:colOff>0</xdr:colOff>
          <xdr:row>6</xdr:row>
          <xdr:rowOff>7620</xdr:rowOff>
        </xdr:to>
        <xdr:sp macro="" textlink="">
          <xdr:nvSpPr>
            <xdr:cNvPr id="23554" name="Option Button 2" hidden="1">
              <a:extLst>
                <a:ext uri="{63B3BB69-23CF-44E3-9099-C40C66FF867C}">
                  <a14:compatExt spid="_x0000_s23554"/>
                </a:ext>
                <a:ext uri="{FF2B5EF4-FFF2-40B4-BE49-F238E27FC236}">
                  <a16:creationId xmlns:a16="http://schemas.microsoft.com/office/drawing/2014/main" id="{00000000-0008-0000-17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NL" sz="800" b="0" i="0" u="none" strike="noStrike" baseline="0">
                  <a:solidFill>
                    <a:srgbClr val="000000"/>
                  </a:solidFill>
                  <a:latin typeface="Segoe UI"/>
                  <a:cs typeface="Segoe UI"/>
                </a:rPr>
                <a:t>Eigen invoer gebruiken</a:t>
              </a:r>
            </a:p>
          </xdr:txBody>
        </xdr:sp>
        <xdr:clientData/>
      </xdr:twoCellAnchor>
    </mc:Choice>
    <mc:Fallback/>
  </mc:AlternateContent>
  <xdr:twoCellAnchor>
    <xdr:from>
      <xdr:col>4</xdr:col>
      <xdr:colOff>18144</xdr:colOff>
      <xdr:row>9</xdr:row>
      <xdr:rowOff>9071</xdr:rowOff>
    </xdr:from>
    <xdr:to>
      <xdr:col>4</xdr:col>
      <xdr:colOff>187087</xdr:colOff>
      <xdr:row>9</xdr:row>
      <xdr:rowOff>178599</xdr:rowOff>
    </xdr:to>
    <xdr:pic>
      <xdr:nvPicPr>
        <xdr:cNvPr id="5" name="Afbeelding 4">
          <a:extLst>
            <a:ext uri="{FF2B5EF4-FFF2-40B4-BE49-F238E27FC236}">
              <a16:creationId xmlns:a16="http://schemas.microsoft.com/office/drawing/2014/main" id="{00000000-0008-0000-17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9994" y="1126671"/>
          <a:ext cx="168943" cy="169528"/>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xdr:from>
      <xdr:col>4</xdr:col>
      <xdr:colOff>18144</xdr:colOff>
      <xdr:row>8</xdr:row>
      <xdr:rowOff>9072</xdr:rowOff>
    </xdr:from>
    <xdr:to>
      <xdr:col>4</xdr:col>
      <xdr:colOff>187087</xdr:colOff>
      <xdr:row>8</xdr:row>
      <xdr:rowOff>178600</xdr:rowOff>
    </xdr:to>
    <xdr:pic>
      <xdr:nvPicPr>
        <xdr:cNvPr id="6" name="Afbeelding 5">
          <a:extLst>
            <a:ext uri="{FF2B5EF4-FFF2-40B4-BE49-F238E27FC236}">
              <a16:creationId xmlns:a16="http://schemas.microsoft.com/office/drawing/2014/main" id="{00000000-0008-0000-17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9994" y="942522"/>
          <a:ext cx="168943" cy="169528"/>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xdr:from>
      <xdr:col>4</xdr:col>
      <xdr:colOff>18143</xdr:colOff>
      <xdr:row>10</xdr:row>
      <xdr:rowOff>18143</xdr:rowOff>
    </xdr:from>
    <xdr:to>
      <xdr:col>4</xdr:col>
      <xdr:colOff>187086</xdr:colOff>
      <xdr:row>11</xdr:row>
      <xdr:rowOff>6243</xdr:rowOff>
    </xdr:to>
    <xdr:pic>
      <xdr:nvPicPr>
        <xdr:cNvPr id="7" name="Afbeelding 6">
          <a:extLst>
            <a:ext uri="{FF2B5EF4-FFF2-40B4-BE49-F238E27FC236}">
              <a16:creationId xmlns:a16="http://schemas.microsoft.com/office/drawing/2014/main" id="{00000000-0008-0000-17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9993" y="1319893"/>
          <a:ext cx="168943" cy="17225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xdr:from>
      <xdr:col>1</xdr:col>
      <xdr:colOff>47628</xdr:colOff>
      <xdr:row>1</xdr:row>
      <xdr:rowOff>55562</xdr:rowOff>
    </xdr:from>
    <xdr:to>
      <xdr:col>1</xdr:col>
      <xdr:colOff>515628</xdr:colOff>
      <xdr:row>2</xdr:row>
      <xdr:rowOff>125000</xdr:rowOff>
    </xdr:to>
    <xdr:sp macro="" textlink="">
      <xdr:nvSpPr>
        <xdr:cNvPr id="10" name="Pijl: rechts 24">
          <a:hlinkClick xmlns:r="http://schemas.openxmlformats.org/officeDocument/2006/relationships" r:id="rId2"/>
          <a:extLst>
            <a:ext uri="{FF2B5EF4-FFF2-40B4-BE49-F238E27FC236}">
              <a16:creationId xmlns:a16="http://schemas.microsoft.com/office/drawing/2014/main" id="{00000000-0008-0000-1700-00000A000000}"/>
            </a:ext>
          </a:extLst>
        </xdr:cNvPr>
        <xdr:cNvSpPr>
          <a:spLocks/>
        </xdr:cNvSpPr>
      </xdr:nvSpPr>
      <xdr:spPr>
        <a:xfrm flipH="1">
          <a:off x="231778" y="239712"/>
          <a:ext cx="468000" cy="253588"/>
        </a:xfrm>
        <a:prstGeom prst="rightArrow">
          <a:avLst/>
        </a:prstGeom>
      </xdr:spPr>
      <xdr:style>
        <a:lnRef idx="0">
          <a:schemeClr val="dk1"/>
        </a:lnRef>
        <a:fillRef idx="3">
          <a:schemeClr val="dk1"/>
        </a:fillRef>
        <a:effectRef idx="3">
          <a:schemeClr val="dk1"/>
        </a:effectRef>
        <a:fontRef idx="minor">
          <a:schemeClr val="lt1"/>
        </a:fontRef>
      </xdr:style>
      <xdr:txBody>
        <a:bodyPr vertOverflow="clip" horzOverflow="clip" rtlCol="0" anchor="t"/>
        <a:lstStyle/>
        <a:p>
          <a:pPr algn="l"/>
          <a:endParaRPr lang="nl-NL" sz="1100"/>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4</xdr:col>
      <xdr:colOff>18143</xdr:colOff>
      <xdr:row>10</xdr:row>
      <xdr:rowOff>18143</xdr:rowOff>
    </xdr:from>
    <xdr:to>
      <xdr:col>4</xdr:col>
      <xdr:colOff>187086</xdr:colOff>
      <xdr:row>11</xdr:row>
      <xdr:rowOff>6243</xdr:rowOff>
    </xdr:to>
    <xdr:pic>
      <xdr:nvPicPr>
        <xdr:cNvPr id="3" name="Afbeelding 6">
          <a:extLst>
            <a:ext uri="{FF2B5EF4-FFF2-40B4-BE49-F238E27FC236}">
              <a16:creationId xmlns:a16="http://schemas.microsoft.com/office/drawing/2014/main" id="{00000000-0008-0000-18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9993" y="1319893"/>
          <a:ext cx="168943" cy="172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xdr:col>
          <xdr:colOff>0</xdr:colOff>
          <xdr:row>4</xdr:row>
          <xdr:rowOff>0</xdr:rowOff>
        </xdr:from>
        <xdr:to>
          <xdr:col>2</xdr:col>
          <xdr:colOff>0</xdr:colOff>
          <xdr:row>5</xdr:row>
          <xdr:rowOff>7620</xdr:rowOff>
        </xdr:to>
        <xdr:sp macro="" textlink="">
          <xdr:nvSpPr>
            <xdr:cNvPr id="24577" name="Option Button 1" hidden="1">
              <a:extLst>
                <a:ext uri="{63B3BB69-23CF-44E3-9099-C40C66FF867C}">
                  <a14:compatExt spid="_x0000_s24577"/>
                </a:ext>
                <a:ext uri="{FF2B5EF4-FFF2-40B4-BE49-F238E27FC236}">
                  <a16:creationId xmlns:a16="http://schemas.microsoft.com/office/drawing/2014/main" id="{00000000-0008-0000-18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NL" sz="800" b="0" i="0" u="none" strike="noStrike" baseline="0">
                  <a:solidFill>
                    <a:srgbClr val="000000"/>
                  </a:solidFill>
                  <a:latin typeface="Segoe UI"/>
                  <a:cs typeface="Segoe UI"/>
                </a:rPr>
                <a:t>Gemiddelde gebruiken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0</xdr:rowOff>
        </xdr:to>
        <xdr:sp macro="" textlink="">
          <xdr:nvSpPr>
            <xdr:cNvPr id="24578" name="Option Button 2" hidden="1">
              <a:extLst>
                <a:ext uri="{63B3BB69-23CF-44E3-9099-C40C66FF867C}">
                  <a14:compatExt spid="_x0000_s24578"/>
                </a:ext>
                <a:ext uri="{FF2B5EF4-FFF2-40B4-BE49-F238E27FC236}">
                  <a16:creationId xmlns:a16="http://schemas.microsoft.com/office/drawing/2014/main" id="{00000000-0008-0000-18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NL" sz="800" b="0" i="0" u="none" strike="noStrike" baseline="0">
                  <a:solidFill>
                    <a:srgbClr val="000000"/>
                  </a:solidFill>
                  <a:latin typeface="Segoe UI"/>
                  <a:cs typeface="Segoe UI"/>
                </a:rPr>
                <a:t>Eigen invoer gebruiken</a:t>
              </a:r>
            </a:p>
          </xdr:txBody>
        </xdr:sp>
        <xdr:clientData/>
      </xdr:twoCellAnchor>
    </mc:Choice>
    <mc:Fallback/>
  </mc:AlternateContent>
  <xdr:twoCellAnchor>
    <xdr:from>
      <xdr:col>4</xdr:col>
      <xdr:colOff>18144</xdr:colOff>
      <xdr:row>9</xdr:row>
      <xdr:rowOff>9071</xdr:rowOff>
    </xdr:from>
    <xdr:to>
      <xdr:col>4</xdr:col>
      <xdr:colOff>187087</xdr:colOff>
      <xdr:row>9</xdr:row>
      <xdr:rowOff>178599</xdr:rowOff>
    </xdr:to>
    <xdr:pic>
      <xdr:nvPicPr>
        <xdr:cNvPr id="5" name="Afbeelding 4">
          <a:extLst>
            <a:ext uri="{FF2B5EF4-FFF2-40B4-BE49-F238E27FC236}">
              <a16:creationId xmlns:a16="http://schemas.microsoft.com/office/drawing/2014/main" id="{00000000-0008-0000-18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9994" y="1126671"/>
          <a:ext cx="168943" cy="169528"/>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xdr:from>
      <xdr:col>4</xdr:col>
      <xdr:colOff>18144</xdr:colOff>
      <xdr:row>8</xdr:row>
      <xdr:rowOff>9072</xdr:rowOff>
    </xdr:from>
    <xdr:to>
      <xdr:col>4</xdr:col>
      <xdr:colOff>187087</xdr:colOff>
      <xdr:row>8</xdr:row>
      <xdr:rowOff>178600</xdr:rowOff>
    </xdr:to>
    <xdr:pic>
      <xdr:nvPicPr>
        <xdr:cNvPr id="6" name="Afbeelding 5">
          <a:extLst>
            <a:ext uri="{FF2B5EF4-FFF2-40B4-BE49-F238E27FC236}">
              <a16:creationId xmlns:a16="http://schemas.microsoft.com/office/drawing/2014/main" id="{00000000-0008-0000-18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9994" y="942522"/>
          <a:ext cx="168943" cy="169528"/>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xdr:from>
      <xdr:col>4</xdr:col>
      <xdr:colOff>18143</xdr:colOff>
      <xdr:row>10</xdr:row>
      <xdr:rowOff>18143</xdr:rowOff>
    </xdr:from>
    <xdr:to>
      <xdr:col>4</xdr:col>
      <xdr:colOff>187086</xdr:colOff>
      <xdr:row>11</xdr:row>
      <xdr:rowOff>6243</xdr:rowOff>
    </xdr:to>
    <xdr:pic>
      <xdr:nvPicPr>
        <xdr:cNvPr id="7" name="Afbeelding 6">
          <a:extLst>
            <a:ext uri="{FF2B5EF4-FFF2-40B4-BE49-F238E27FC236}">
              <a16:creationId xmlns:a16="http://schemas.microsoft.com/office/drawing/2014/main" id="{00000000-0008-0000-18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9993" y="1319893"/>
          <a:ext cx="168943" cy="17225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xdr:from>
      <xdr:col>1</xdr:col>
      <xdr:colOff>47628</xdr:colOff>
      <xdr:row>1</xdr:row>
      <xdr:rowOff>55562</xdr:rowOff>
    </xdr:from>
    <xdr:to>
      <xdr:col>1</xdr:col>
      <xdr:colOff>515628</xdr:colOff>
      <xdr:row>2</xdr:row>
      <xdr:rowOff>125000</xdr:rowOff>
    </xdr:to>
    <xdr:sp macro="" textlink="">
      <xdr:nvSpPr>
        <xdr:cNvPr id="11" name="Pijl: rechts 24">
          <a:hlinkClick xmlns:r="http://schemas.openxmlformats.org/officeDocument/2006/relationships" r:id="rId2"/>
          <a:extLst>
            <a:ext uri="{FF2B5EF4-FFF2-40B4-BE49-F238E27FC236}">
              <a16:creationId xmlns:a16="http://schemas.microsoft.com/office/drawing/2014/main" id="{00000000-0008-0000-1800-00000B000000}"/>
            </a:ext>
          </a:extLst>
        </xdr:cNvPr>
        <xdr:cNvSpPr>
          <a:spLocks/>
        </xdr:cNvSpPr>
      </xdr:nvSpPr>
      <xdr:spPr>
        <a:xfrm flipH="1">
          <a:off x="231778" y="239712"/>
          <a:ext cx="468000" cy="253588"/>
        </a:xfrm>
        <a:prstGeom prst="rightArrow">
          <a:avLst/>
        </a:prstGeom>
      </xdr:spPr>
      <xdr:style>
        <a:lnRef idx="0">
          <a:schemeClr val="dk1"/>
        </a:lnRef>
        <a:fillRef idx="3">
          <a:schemeClr val="dk1"/>
        </a:fillRef>
        <a:effectRef idx="3">
          <a:schemeClr val="dk1"/>
        </a:effectRef>
        <a:fontRef idx="minor">
          <a:schemeClr val="lt1"/>
        </a:fontRef>
      </xdr:style>
      <xdr:txBody>
        <a:bodyPr vertOverflow="clip" horzOverflow="clip" rtlCol="0" anchor="t"/>
        <a:lstStyle/>
        <a:p>
          <a:pPr algn="l"/>
          <a:endParaRPr lang="nl-NL" sz="1100"/>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4</xdr:col>
      <xdr:colOff>18143</xdr:colOff>
      <xdr:row>10</xdr:row>
      <xdr:rowOff>18143</xdr:rowOff>
    </xdr:from>
    <xdr:to>
      <xdr:col>4</xdr:col>
      <xdr:colOff>187086</xdr:colOff>
      <xdr:row>11</xdr:row>
      <xdr:rowOff>6243</xdr:rowOff>
    </xdr:to>
    <xdr:pic>
      <xdr:nvPicPr>
        <xdr:cNvPr id="3" name="Afbeelding 6">
          <a:extLst>
            <a:ext uri="{FF2B5EF4-FFF2-40B4-BE49-F238E27FC236}">
              <a16:creationId xmlns:a16="http://schemas.microsoft.com/office/drawing/2014/main" id="{00000000-0008-0000-19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9993" y="1319893"/>
          <a:ext cx="168943" cy="172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xdr:col>
          <xdr:colOff>0</xdr:colOff>
          <xdr:row>4</xdr:row>
          <xdr:rowOff>0</xdr:rowOff>
        </xdr:from>
        <xdr:to>
          <xdr:col>2</xdr:col>
          <xdr:colOff>0</xdr:colOff>
          <xdr:row>5</xdr:row>
          <xdr:rowOff>0</xdr:rowOff>
        </xdr:to>
        <xdr:sp macro="" textlink="">
          <xdr:nvSpPr>
            <xdr:cNvPr id="25601" name="Option Button 1" hidden="1">
              <a:extLst>
                <a:ext uri="{63B3BB69-23CF-44E3-9099-C40C66FF867C}">
                  <a14:compatExt spid="_x0000_s25601"/>
                </a:ext>
                <a:ext uri="{FF2B5EF4-FFF2-40B4-BE49-F238E27FC236}">
                  <a16:creationId xmlns:a16="http://schemas.microsoft.com/office/drawing/2014/main" id="{00000000-0008-0000-19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NL" sz="800" b="0" i="0" u="none" strike="noStrike" baseline="0">
                  <a:solidFill>
                    <a:srgbClr val="000000"/>
                  </a:solidFill>
                  <a:latin typeface="Segoe UI"/>
                  <a:cs typeface="Segoe UI"/>
                </a:rPr>
                <a:t>Gemiddelde gebruiken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xdr:row>
          <xdr:rowOff>182880</xdr:rowOff>
        </xdr:from>
        <xdr:to>
          <xdr:col>2</xdr:col>
          <xdr:colOff>0</xdr:colOff>
          <xdr:row>6</xdr:row>
          <xdr:rowOff>7620</xdr:rowOff>
        </xdr:to>
        <xdr:sp macro="" textlink="">
          <xdr:nvSpPr>
            <xdr:cNvPr id="25602" name="Option Button 2" hidden="1">
              <a:extLst>
                <a:ext uri="{63B3BB69-23CF-44E3-9099-C40C66FF867C}">
                  <a14:compatExt spid="_x0000_s25602"/>
                </a:ext>
                <a:ext uri="{FF2B5EF4-FFF2-40B4-BE49-F238E27FC236}">
                  <a16:creationId xmlns:a16="http://schemas.microsoft.com/office/drawing/2014/main" id="{00000000-0008-0000-19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NL" sz="800" b="0" i="0" u="none" strike="noStrike" baseline="0">
                  <a:solidFill>
                    <a:srgbClr val="000000"/>
                  </a:solidFill>
                  <a:latin typeface="Segoe UI"/>
                  <a:cs typeface="Segoe UI"/>
                </a:rPr>
                <a:t>Eigen invoer gebruiken</a:t>
              </a:r>
            </a:p>
          </xdr:txBody>
        </xdr:sp>
        <xdr:clientData/>
      </xdr:twoCellAnchor>
    </mc:Choice>
    <mc:Fallback/>
  </mc:AlternateContent>
  <xdr:twoCellAnchor>
    <xdr:from>
      <xdr:col>4</xdr:col>
      <xdr:colOff>18144</xdr:colOff>
      <xdr:row>9</xdr:row>
      <xdr:rowOff>9071</xdr:rowOff>
    </xdr:from>
    <xdr:to>
      <xdr:col>4</xdr:col>
      <xdr:colOff>187087</xdr:colOff>
      <xdr:row>9</xdr:row>
      <xdr:rowOff>178599</xdr:rowOff>
    </xdr:to>
    <xdr:pic>
      <xdr:nvPicPr>
        <xdr:cNvPr id="5" name="Afbeelding 4">
          <a:extLst>
            <a:ext uri="{FF2B5EF4-FFF2-40B4-BE49-F238E27FC236}">
              <a16:creationId xmlns:a16="http://schemas.microsoft.com/office/drawing/2014/main" id="{00000000-0008-0000-19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9994" y="1126671"/>
          <a:ext cx="168943" cy="169528"/>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xdr:from>
      <xdr:col>4</xdr:col>
      <xdr:colOff>18144</xdr:colOff>
      <xdr:row>8</xdr:row>
      <xdr:rowOff>9072</xdr:rowOff>
    </xdr:from>
    <xdr:to>
      <xdr:col>4</xdr:col>
      <xdr:colOff>187087</xdr:colOff>
      <xdr:row>8</xdr:row>
      <xdr:rowOff>178600</xdr:rowOff>
    </xdr:to>
    <xdr:pic>
      <xdr:nvPicPr>
        <xdr:cNvPr id="6" name="Afbeelding 5">
          <a:extLst>
            <a:ext uri="{FF2B5EF4-FFF2-40B4-BE49-F238E27FC236}">
              <a16:creationId xmlns:a16="http://schemas.microsoft.com/office/drawing/2014/main" id="{00000000-0008-0000-19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9994" y="942522"/>
          <a:ext cx="168943" cy="169528"/>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xdr:from>
      <xdr:col>4</xdr:col>
      <xdr:colOff>18143</xdr:colOff>
      <xdr:row>10</xdr:row>
      <xdr:rowOff>18143</xdr:rowOff>
    </xdr:from>
    <xdr:to>
      <xdr:col>4</xdr:col>
      <xdr:colOff>187086</xdr:colOff>
      <xdr:row>11</xdr:row>
      <xdr:rowOff>6243</xdr:rowOff>
    </xdr:to>
    <xdr:pic>
      <xdr:nvPicPr>
        <xdr:cNvPr id="7" name="Afbeelding 6">
          <a:extLst>
            <a:ext uri="{FF2B5EF4-FFF2-40B4-BE49-F238E27FC236}">
              <a16:creationId xmlns:a16="http://schemas.microsoft.com/office/drawing/2014/main" id="{00000000-0008-0000-19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9993" y="1319893"/>
          <a:ext cx="168943" cy="17225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xdr:from>
      <xdr:col>1</xdr:col>
      <xdr:colOff>47628</xdr:colOff>
      <xdr:row>1</xdr:row>
      <xdr:rowOff>55562</xdr:rowOff>
    </xdr:from>
    <xdr:to>
      <xdr:col>1</xdr:col>
      <xdr:colOff>515628</xdr:colOff>
      <xdr:row>2</xdr:row>
      <xdr:rowOff>125000</xdr:rowOff>
    </xdr:to>
    <xdr:sp macro="" textlink="">
      <xdr:nvSpPr>
        <xdr:cNvPr id="11" name="Pijl: rechts 24">
          <a:hlinkClick xmlns:r="http://schemas.openxmlformats.org/officeDocument/2006/relationships" r:id="rId2"/>
          <a:extLst>
            <a:ext uri="{FF2B5EF4-FFF2-40B4-BE49-F238E27FC236}">
              <a16:creationId xmlns:a16="http://schemas.microsoft.com/office/drawing/2014/main" id="{00000000-0008-0000-1900-00000B000000}"/>
            </a:ext>
          </a:extLst>
        </xdr:cNvPr>
        <xdr:cNvSpPr>
          <a:spLocks/>
        </xdr:cNvSpPr>
      </xdr:nvSpPr>
      <xdr:spPr>
        <a:xfrm flipH="1">
          <a:off x="231778" y="239712"/>
          <a:ext cx="468000" cy="253588"/>
        </a:xfrm>
        <a:prstGeom prst="rightArrow">
          <a:avLst/>
        </a:prstGeom>
      </xdr:spPr>
      <xdr:style>
        <a:lnRef idx="0">
          <a:schemeClr val="dk1"/>
        </a:lnRef>
        <a:fillRef idx="3">
          <a:schemeClr val="dk1"/>
        </a:fillRef>
        <a:effectRef idx="3">
          <a:schemeClr val="dk1"/>
        </a:effectRef>
        <a:fontRef idx="minor">
          <a:schemeClr val="lt1"/>
        </a:fontRef>
      </xdr:style>
      <xdr:txBody>
        <a:bodyPr vertOverflow="clip" horzOverflow="clip" rtlCol="0" anchor="t"/>
        <a:lstStyle/>
        <a:p>
          <a:pPr algn="l"/>
          <a:endParaRPr lang="nl-NL" sz="1100"/>
        </a:p>
      </xdr:txBody>
    </xdr:sp>
    <xdr:clientData/>
  </xdr:twoCellAnchor>
</xdr:wsDr>
</file>

<file path=xl/drawings/drawing2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4</xdr:row>
          <xdr:rowOff>0</xdr:rowOff>
        </xdr:from>
        <xdr:to>
          <xdr:col>2</xdr:col>
          <xdr:colOff>0</xdr:colOff>
          <xdr:row>5</xdr:row>
          <xdr:rowOff>0</xdr:rowOff>
        </xdr:to>
        <xdr:sp macro="" textlink="">
          <xdr:nvSpPr>
            <xdr:cNvPr id="26625" name="Option Button 1" hidden="1">
              <a:extLst>
                <a:ext uri="{63B3BB69-23CF-44E3-9099-C40C66FF867C}">
                  <a14:compatExt spid="_x0000_s26625"/>
                </a:ext>
                <a:ext uri="{FF2B5EF4-FFF2-40B4-BE49-F238E27FC236}">
                  <a16:creationId xmlns:a16="http://schemas.microsoft.com/office/drawing/2014/main" id="{00000000-0008-0000-1A00-00000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NL" sz="800" b="0" i="0" u="none" strike="noStrike" baseline="0">
                  <a:solidFill>
                    <a:srgbClr val="000000"/>
                  </a:solidFill>
                  <a:latin typeface="Segoe UI"/>
                  <a:cs typeface="Segoe UI"/>
                </a:rPr>
                <a:t>Gemiddelde gebruiken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xdr:row>
          <xdr:rowOff>182880</xdr:rowOff>
        </xdr:from>
        <xdr:to>
          <xdr:col>2</xdr:col>
          <xdr:colOff>0</xdr:colOff>
          <xdr:row>6</xdr:row>
          <xdr:rowOff>7620</xdr:rowOff>
        </xdr:to>
        <xdr:sp macro="" textlink="">
          <xdr:nvSpPr>
            <xdr:cNvPr id="26626" name="Option Button 2" hidden="1">
              <a:extLst>
                <a:ext uri="{63B3BB69-23CF-44E3-9099-C40C66FF867C}">
                  <a14:compatExt spid="_x0000_s26626"/>
                </a:ext>
                <a:ext uri="{FF2B5EF4-FFF2-40B4-BE49-F238E27FC236}">
                  <a16:creationId xmlns:a16="http://schemas.microsoft.com/office/drawing/2014/main" id="{00000000-0008-0000-1A00-00000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NL" sz="800" b="0" i="0" u="none" strike="noStrike" baseline="0">
                  <a:solidFill>
                    <a:srgbClr val="000000"/>
                  </a:solidFill>
                  <a:latin typeface="Segoe UI"/>
                  <a:cs typeface="Segoe UI"/>
                </a:rPr>
                <a:t>Eigen invoer gebruiken</a:t>
              </a:r>
            </a:p>
          </xdr:txBody>
        </xdr:sp>
        <xdr:clientData/>
      </xdr:twoCellAnchor>
    </mc:Choice>
    <mc:Fallback/>
  </mc:AlternateContent>
  <xdr:twoCellAnchor>
    <xdr:from>
      <xdr:col>4</xdr:col>
      <xdr:colOff>18144</xdr:colOff>
      <xdr:row>9</xdr:row>
      <xdr:rowOff>9071</xdr:rowOff>
    </xdr:from>
    <xdr:to>
      <xdr:col>4</xdr:col>
      <xdr:colOff>187087</xdr:colOff>
      <xdr:row>9</xdr:row>
      <xdr:rowOff>178599</xdr:rowOff>
    </xdr:to>
    <xdr:pic>
      <xdr:nvPicPr>
        <xdr:cNvPr id="5" name="Afbeelding 4">
          <a:extLst>
            <a:ext uri="{FF2B5EF4-FFF2-40B4-BE49-F238E27FC236}">
              <a16:creationId xmlns:a16="http://schemas.microsoft.com/office/drawing/2014/main" id="{00000000-0008-0000-1A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9994" y="1126671"/>
          <a:ext cx="168943" cy="169528"/>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xdr:from>
      <xdr:col>4</xdr:col>
      <xdr:colOff>18144</xdr:colOff>
      <xdr:row>8</xdr:row>
      <xdr:rowOff>9072</xdr:rowOff>
    </xdr:from>
    <xdr:to>
      <xdr:col>4</xdr:col>
      <xdr:colOff>187087</xdr:colOff>
      <xdr:row>8</xdr:row>
      <xdr:rowOff>178600</xdr:rowOff>
    </xdr:to>
    <xdr:pic>
      <xdr:nvPicPr>
        <xdr:cNvPr id="6" name="Afbeelding 5">
          <a:extLst>
            <a:ext uri="{FF2B5EF4-FFF2-40B4-BE49-F238E27FC236}">
              <a16:creationId xmlns:a16="http://schemas.microsoft.com/office/drawing/2014/main" id="{00000000-0008-0000-1A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9994" y="942522"/>
          <a:ext cx="168943" cy="169528"/>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xdr:from>
      <xdr:col>4</xdr:col>
      <xdr:colOff>18143</xdr:colOff>
      <xdr:row>10</xdr:row>
      <xdr:rowOff>18143</xdr:rowOff>
    </xdr:from>
    <xdr:to>
      <xdr:col>4</xdr:col>
      <xdr:colOff>187086</xdr:colOff>
      <xdr:row>11</xdr:row>
      <xdr:rowOff>6243</xdr:rowOff>
    </xdr:to>
    <xdr:pic>
      <xdr:nvPicPr>
        <xdr:cNvPr id="7" name="Afbeelding 6">
          <a:extLst>
            <a:ext uri="{FF2B5EF4-FFF2-40B4-BE49-F238E27FC236}">
              <a16:creationId xmlns:a16="http://schemas.microsoft.com/office/drawing/2014/main" id="{00000000-0008-0000-1A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9993" y="1319893"/>
          <a:ext cx="168943" cy="17225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xdr:from>
      <xdr:col>1</xdr:col>
      <xdr:colOff>47628</xdr:colOff>
      <xdr:row>1</xdr:row>
      <xdr:rowOff>55562</xdr:rowOff>
    </xdr:from>
    <xdr:to>
      <xdr:col>1</xdr:col>
      <xdr:colOff>515628</xdr:colOff>
      <xdr:row>2</xdr:row>
      <xdr:rowOff>125000</xdr:rowOff>
    </xdr:to>
    <xdr:sp macro="" textlink="">
      <xdr:nvSpPr>
        <xdr:cNvPr id="10" name="Pijl: rechts 24">
          <a:hlinkClick xmlns:r="http://schemas.openxmlformats.org/officeDocument/2006/relationships" r:id="rId2"/>
          <a:extLst>
            <a:ext uri="{FF2B5EF4-FFF2-40B4-BE49-F238E27FC236}">
              <a16:creationId xmlns:a16="http://schemas.microsoft.com/office/drawing/2014/main" id="{00000000-0008-0000-1A00-00000A000000}"/>
            </a:ext>
          </a:extLst>
        </xdr:cNvPr>
        <xdr:cNvSpPr>
          <a:spLocks/>
        </xdr:cNvSpPr>
      </xdr:nvSpPr>
      <xdr:spPr>
        <a:xfrm flipH="1">
          <a:off x="231778" y="239712"/>
          <a:ext cx="468000" cy="253588"/>
        </a:xfrm>
        <a:prstGeom prst="rightArrow">
          <a:avLst/>
        </a:prstGeom>
      </xdr:spPr>
      <xdr:style>
        <a:lnRef idx="0">
          <a:schemeClr val="dk1"/>
        </a:lnRef>
        <a:fillRef idx="3">
          <a:schemeClr val="dk1"/>
        </a:fillRef>
        <a:effectRef idx="3">
          <a:schemeClr val="dk1"/>
        </a:effectRef>
        <a:fontRef idx="minor">
          <a:schemeClr val="lt1"/>
        </a:fontRef>
      </xdr:style>
      <xdr:txBody>
        <a:bodyPr vertOverflow="clip" horzOverflow="clip" rtlCol="0" anchor="t"/>
        <a:lstStyle/>
        <a:p>
          <a:pPr algn="l"/>
          <a:endParaRPr lang="nl-NL" sz="1100"/>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xdr:col>
      <xdr:colOff>47628</xdr:colOff>
      <xdr:row>1</xdr:row>
      <xdr:rowOff>55562</xdr:rowOff>
    </xdr:from>
    <xdr:to>
      <xdr:col>1</xdr:col>
      <xdr:colOff>515628</xdr:colOff>
      <xdr:row>2</xdr:row>
      <xdr:rowOff>125000</xdr:rowOff>
    </xdr:to>
    <xdr:sp macro="" textlink="">
      <xdr:nvSpPr>
        <xdr:cNvPr id="2" name="Pijl: rechts 24">
          <a:hlinkClick xmlns:r="http://schemas.openxmlformats.org/officeDocument/2006/relationships" r:id="rId1"/>
          <a:extLst>
            <a:ext uri="{FF2B5EF4-FFF2-40B4-BE49-F238E27FC236}">
              <a16:creationId xmlns:a16="http://schemas.microsoft.com/office/drawing/2014/main" id="{00000000-0008-0000-1B00-000002000000}"/>
            </a:ext>
          </a:extLst>
        </xdr:cNvPr>
        <xdr:cNvSpPr>
          <a:spLocks/>
        </xdr:cNvSpPr>
      </xdr:nvSpPr>
      <xdr:spPr>
        <a:xfrm flipH="1">
          <a:off x="238128" y="239712"/>
          <a:ext cx="468000" cy="253588"/>
        </a:xfrm>
        <a:prstGeom prst="rightArrow">
          <a:avLst/>
        </a:prstGeom>
      </xdr:spPr>
      <xdr:style>
        <a:lnRef idx="0">
          <a:schemeClr val="dk1"/>
        </a:lnRef>
        <a:fillRef idx="3">
          <a:schemeClr val="dk1"/>
        </a:fillRef>
        <a:effectRef idx="3">
          <a:schemeClr val="dk1"/>
        </a:effectRef>
        <a:fontRef idx="minor">
          <a:schemeClr val="lt1"/>
        </a:fontRef>
      </xdr:style>
      <xdr:txBody>
        <a:bodyPr vertOverflow="clip" horzOverflow="clip" rtlCol="0" anchor="t"/>
        <a:lstStyle/>
        <a:p>
          <a:pPr algn="l"/>
          <a:endParaRPr lang="nl-NL" sz="1100"/>
        </a:p>
      </xdr:txBody>
    </xdr:sp>
    <xdr:clientData/>
  </xdr:twoCellAnchor>
</xdr:wsDr>
</file>

<file path=xl/drawings/drawing2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4</xdr:row>
          <xdr:rowOff>0</xdr:rowOff>
        </xdr:from>
        <xdr:to>
          <xdr:col>2</xdr:col>
          <xdr:colOff>0</xdr:colOff>
          <xdr:row>5</xdr:row>
          <xdr:rowOff>0</xdr:rowOff>
        </xdr:to>
        <xdr:sp macro="" textlink="">
          <xdr:nvSpPr>
            <xdr:cNvPr id="21507" name="Option Button 3" hidden="1">
              <a:extLst>
                <a:ext uri="{63B3BB69-23CF-44E3-9099-C40C66FF867C}">
                  <a14:compatExt spid="_x0000_s21507"/>
                </a:ext>
                <a:ext uri="{FF2B5EF4-FFF2-40B4-BE49-F238E27FC236}">
                  <a16:creationId xmlns:a16="http://schemas.microsoft.com/office/drawing/2014/main" id="{00000000-0008-0000-1C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NL" sz="800" b="0" i="0" u="none" strike="noStrike" baseline="0">
                  <a:solidFill>
                    <a:srgbClr val="000000"/>
                  </a:solidFill>
                  <a:latin typeface="Segoe UI"/>
                  <a:cs typeface="Segoe UI"/>
                </a:rPr>
                <a:t>Gemiddelde gebruiken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0</xdr:rowOff>
        </xdr:to>
        <xdr:sp macro="" textlink="">
          <xdr:nvSpPr>
            <xdr:cNvPr id="21508" name="Option Button 4" hidden="1">
              <a:extLst>
                <a:ext uri="{63B3BB69-23CF-44E3-9099-C40C66FF867C}">
                  <a14:compatExt spid="_x0000_s21508"/>
                </a:ext>
                <a:ext uri="{FF2B5EF4-FFF2-40B4-BE49-F238E27FC236}">
                  <a16:creationId xmlns:a16="http://schemas.microsoft.com/office/drawing/2014/main" id="{00000000-0008-0000-1C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NL" sz="800" b="0" i="0" u="none" strike="noStrike" baseline="0">
                  <a:solidFill>
                    <a:srgbClr val="000000"/>
                  </a:solidFill>
                  <a:latin typeface="Segoe UI"/>
                  <a:cs typeface="Segoe UI"/>
                </a:rPr>
                <a:t>Huidige invoer gebruiken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xdr:row>
          <xdr:rowOff>7620</xdr:rowOff>
        </xdr:from>
        <xdr:to>
          <xdr:col>2</xdr:col>
          <xdr:colOff>0</xdr:colOff>
          <xdr:row>7</xdr:row>
          <xdr:rowOff>0</xdr:rowOff>
        </xdr:to>
        <xdr:sp macro="" textlink="">
          <xdr:nvSpPr>
            <xdr:cNvPr id="21509" name="Option Button 5" hidden="1">
              <a:extLst>
                <a:ext uri="{63B3BB69-23CF-44E3-9099-C40C66FF867C}">
                  <a14:compatExt spid="_x0000_s21509"/>
                </a:ext>
                <a:ext uri="{FF2B5EF4-FFF2-40B4-BE49-F238E27FC236}">
                  <a16:creationId xmlns:a16="http://schemas.microsoft.com/office/drawing/2014/main" id="{00000000-0008-0000-1C00-00000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NL" sz="800" b="0" i="0" u="none" strike="noStrike" baseline="0">
                  <a:solidFill>
                    <a:srgbClr val="000000"/>
                  </a:solidFill>
                  <a:latin typeface="Segoe UI"/>
                  <a:cs typeface="Segoe UI"/>
                </a:rPr>
                <a:t>Eigen invoer gebruiken</a:t>
              </a:r>
            </a:p>
          </xdr:txBody>
        </xdr:sp>
        <xdr:clientData/>
      </xdr:twoCellAnchor>
    </mc:Choice>
    <mc:Fallback/>
  </mc:AlternateContent>
  <xdr:twoCellAnchor>
    <xdr:from>
      <xdr:col>5</xdr:col>
      <xdr:colOff>18144</xdr:colOff>
      <xdr:row>10</xdr:row>
      <xdr:rowOff>9071</xdr:rowOff>
    </xdr:from>
    <xdr:to>
      <xdr:col>5</xdr:col>
      <xdr:colOff>187087</xdr:colOff>
      <xdr:row>10</xdr:row>
      <xdr:rowOff>178599</xdr:rowOff>
    </xdr:to>
    <xdr:pic>
      <xdr:nvPicPr>
        <xdr:cNvPr id="6" name="Afbeelding 5">
          <a:extLst>
            <a:ext uri="{FF2B5EF4-FFF2-40B4-BE49-F238E27FC236}">
              <a16:creationId xmlns:a16="http://schemas.microsoft.com/office/drawing/2014/main" id="{00000000-0008-0000-1C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9994" y="1126671"/>
          <a:ext cx="168943" cy="1695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18144</xdr:colOff>
      <xdr:row>9</xdr:row>
      <xdr:rowOff>9072</xdr:rowOff>
    </xdr:from>
    <xdr:to>
      <xdr:col>5</xdr:col>
      <xdr:colOff>187087</xdr:colOff>
      <xdr:row>9</xdr:row>
      <xdr:rowOff>178600</xdr:rowOff>
    </xdr:to>
    <xdr:pic>
      <xdr:nvPicPr>
        <xdr:cNvPr id="7" name="Afbeelding 6">
          <a:extLst>
            <a:ext uri="{FF2B5EF4-FFF2-40B4-BE49-F238E27FC236}">
              <a16:creationId xmlns:a16="http://schemas.microsoft.com/office/drawing/2014/main" id="{00000000-0008-0000-1C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9994" y="942522"/>
          <a:ext cx="168943" cy="1695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18143</xdr:colOff>
      <xdr:row>11</xdr:row>
      <xdr:rowOff>18143</xdr:rowOff>
    </xdr:from>
    <xdr:to>
      <xdr:col>5</xdr:col>
      <xdr:colOff>187086</xdr:colOff>
      <xdr:row>12</xdr:row>
      <xdr:rowOff>6243</xdr:rowOff>
    </xdr:to>
    <xdr:pic>
      <xdr:nvPicPr>
        <xdr:cNvPr id="8" name="Afbeelding 7">
          <a:extLst>
            <a:ext uri="{FF2B5EF4-FFF2-40B4-BE49-F238E27FC236}">
              <a16:creationId xmlns:a16="http://schemas.microsoft.com/office/drawing/2014/main" id="{00000000-0008-0000-1C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9993" y="1319893"/>
          <a:ext cx="168943" cy="172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21746</xdr:colOff>
      <xdr:row>9</xdr:row>
      <xdr:rowOff>8880</xdr:rowOff>
    </xdr:from>
    <xdr:to>
      <xdr:col>6</xdr:col>
      <xdr:colOff>927</xdr:colOff>
      <xdr:row>11</xdr:row>
      <xdr:rowOff>4904</xdr:rowOff>
    </xdr:to>
    <xdr:grpSp>
      <xdr:nvGrpSpPr>
        <xdr:cNvPr id="9" name="Groep 3">
          <a:extLst>
            <a:ext uri="{FF2B5EF4-FFF2-40B4-BE49-F238E27FC236}">
              <a16:creationId xmlns:a16="http://schemas.microsoft.com/office/drawing/2014/main" id="{00000000-0008-0000-1C00-000009000000}"/>
            </a:ext>
          </a:extLst>
        </xdr:cNvPr>
        <xdr:cNvGrpSpPr/>
      </xdr:nvGrpSpPr>
      <xdr:grpSpPr>
        <a:xfrm>
          <a:off x="5765321" y="1637655"/>
          <a:ext cx="160156" cy="357974"/>
          <a:chOff x="4936092" y="914444"/>
          <a:chExt cx="172442" cy="360459"/>
        </a:xfrm>
      </xdr:grpSpPr>
      <xdr:pic>
        <xdr:nvPicPr>
          <xdr:cNvPr id="10" name="Afbeelding 5">
            <a:extLst>
              <a:ext uri="{FF2B5EF4-FFF2-40B4-BE49-F238E27FC236}">
                <a16:creationId xmlns:a16="http://schemas.microsoft.com/office/drawing/2014/main" id="{00000000-0008-0000-1C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36092" y="1105375"/>
            <a:ext cx="168943" cy="169528"/>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1" name="Afbeelding 6">
            <a:extLst>
              <a:ext uri="{FF2B5EF4-FFF2-40B4-BE49-F238E27FC236}">
                <a16:creationId xmlns:a16="http://schemas.microsoft.com/office/drawing/2014/main" id="{00000000-0008-0000-1C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39591" y="914444"/>
            <a:ext cx="168943" cy="169528"/>
          </a:xfrm>
          <a:prstGeom prst="rect">
            <a:avLst/>
          </a:prstGeom>
          <a:noFill/>
          <a:extLst>
            <a:ext uri="{909E8E84-426E-40DD-AFC4-6F175D3DCCD1}">
              <a14:hiddenFill xmlns:a14="http://schemas.microsoft.com/office/drawing/2010/main">
                <a:solidFill>
                  <a:srgbClr val="FFFFFF"/>
                </a:solidFill>
              </a14:hiddenFill>
            </a:ext>
          </a:extLst>
        </xdr:spPr>
      </xdr:pic>
    </xdr:grpSp>
    <xdr:clientData fLocksWithSheet="0"/>
  </xdr:twoCellAnchor>
  <xdr:twoCellAnchor>
    <xdr:from>
      <xdr:col>5</xdr:col>
      <xdr:colOff>20514</xdr:colOff>
      <xdr:row>11</xdr:row>
      <xdr:rowOff>13608</xdr:rowOff>
    </xdr:from>
    <xdr:to>
      <xdr:col>5</xdr:col>
      <xdr:colOff>189457</xdr:colOff>
      <xdr:row>12</xdr:row>
      <xdr:rowOff>1707</xdr:rowOff>
    </xdr:to>
    <xdr:pic>
      <xdr:nvPicPr>
        <xdr:cNvPr id="12" name="Afbeelding 10">
          <a:extLst>
            <a:ext uri="{FF2B5EF4-FFF2-40B4-BE49-F238E27FC236}">
              <a16:creationId xmlns:a16="http://schemas.microsoft.com/office/drawing/2014/main" id="{00000000-0008-0000-1C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2364" y="1302658"/>
          <a:ext cx="168943" cy="172249"/>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xdr:from>
      <xdr:col>1</xdr:col>
      <xdr:colOff>47628</xdr:colOff>
      <xdr:row>1</xdr:row>
      <xdr:rowOff>55562</xdr:rowOff>
    </xdr:from>
    <xdr:to>
      <xdr:col>1</xdr:col>
      <xdr:colOff>515628</xdr:colOff>
      <xdr:row>2</xdr:row>
      <xdr:rowOff>125000</xdr:rowOff>
    </xdr:to>
    <xdr:sp macro="" textlink="">
      <xdr:nvSpPr>
        <xdr:cNvPr id="15" name="Pijl: rechts 24">
          <a:hlinkClick xmlns:r="http://schemas.openxmlformats.org/officeDocument/2006/relationships" r:id="rId2"/>
          <a:extLst>
            <a:ext uri="{FF2B5EF4-FFF2-40B4-BE49-F238E27FC236}">
              <a16:creationId xmlns:a16="http://schemas.microsoft.com/office/drawing/2014/main" id="{00000000-0008-0000-1C00-00000F000000}"/>
            </a:ext>
          </a:extLst>
        </xdr:cNvPr>
        <xdr:cNvSpPr>
          <a:spLocks/>
        </xdr:cNvSpPr>
      </xdr:nvSpPr>
      <xdr:spPr>
        <a:xfrm flipH="1">
          <a:off x="231778" y="239712"/>
          <a:ext cx="468000" cy="253588"/>
        </a:xfrm>
        <a:prstGeom prst="rightArrow">
          <a:avLst/>
        </a:prstGeom>
      </xdr:spPr>
      <xdr:style>
        <a:lnRef idx="0">
          <a:schemeClr val="dk1"/>
        </a:lnRef>
        <a:fillRef idx="3">
          <a:schemeClr val="dk1"/>
        </a:fillRef>
        <a:effectRef idx="3">
          <a:schemeClr val="dk1"/>
        </a:effectRef>
        <a:fontRef idx="minor">
          <a:schemeClr val="lt1"/>
        </a:fontRef>
      </xdr:style>
      <xdr:txBody>
        <a:bodyPr vertOverflow="clip" horzOverflow="clip" rtlCol="0" anchor="t"/>
        <a:lstStyle/>
        <a:p>
          <a:pPr algn="l"/>
          <a:endParaRPr lang="nl-NL"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63504</xdr:rowOff>
    </xdr:from>
    <xdr:to>
      <xdr:col>1</xdr:col>
      <xdr:colOff>1044000</xdr:colOff>
      <xdr:row>2</xdr:row>
      <xdr:rowOff>119066</xdr:rowOff>
    </xdr:to>
    <xdr:sp macro="" textlink="">
      <xdr:nvSpPr>
        <xdr:cNvPr id="21" name="Tekstvak 20">
          <a:hlinkClick xmlns:r="http://schemas.openxmlformats.org/officeDocument/2006/relationships" r:id="rId1"/>
          <a:extLst>
            <a:ext uri="{FF2B5EF4-FFF2-40B4-BE49-F238E27FC236}">
              <a16:creationId xmlns:a16="http://schemas.microsoft.com/office/drawing/2014/main" id="{00000000-0008-0000-0200-000015000000}"/>
            </a:ext>
          </a:extLst>
        </xdr:cNvPr>
        <xdr:cNvSpPr txBox="1"/>
      </xdr:nvSpPr>
      <xdr:spPr>
        <a:xfrm>
          <a:off x="190500" y="63504"/>
          <a:ext cx="1044000" cy="420687"/>
        </a:xfrm>
        <a:prstGeom prst="homePlate">
          <a:avLst/>
        </a:prstGeom>
        <a:solidFill>
          <a:schemeClr val="bg1">
            <a:lumMod val="95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nl-NL" sz="1400" b="1"/>
            <a:t>Inleiding</a:t>
          </a:r>
        </a:p>
      </xdr:txBody>
    </xdr:sp>
    <xdr:clientData/>
  </xdr:twoCellAnchor>
  <xdr:twoCellAnchor>
    <xdr:from>
      <xdr:col>1</xdr:col>
      <xdr:colOff>1120771</xdr:colOff>
      <xdr:row>0</xdr:row>
      <xdr:rowOff>73023</xdr:rowOff>
    </xdr:from>
    <xdr:to>
      <xdr:col>2</xdr:col>
      <xdr:colOff>799521</xdr:colOff>
      <xdr:row>2</xdr:row>
      <xdr:rowOff>128585</xdr:rowOff>
    </xdr:to>
    <xdr:sp macro="" textlink="">
      <xdr:nvSpPr>
        <xdr:cNvPr id="22" name="Tekstvak 21">
          <a:hlinkClick xmlns:r="http://schemas.openxmlformats.org/officeDocument/2006/relationships" r:id="rId2"/>
          <a:extLst>
            <a:ext uri="{FF2B5EF4-FFF2-40B4-BE49-F238E27FC236}">
              <a16:creationId xmlns:a16="http://schemas.microsoft.com/office/drawing/2014/main" id="{00000000-0008-0000-0200-000016000000}"/>
            </a:ext>
          </a:extLst>
        </xdr:cNvPr>
        <xdr:cNvSpPr txBox="1"/>
      </xdr:nvSpPr>
      <xdr:spPr>
        <a:xfrm>
          <a:off x="1311271" y="73023"/>
          <a:ext cx="1044000" cy="420687"/>
        </a:xfrm>
        <a:prstGeom prst="homePlate">
          <a:avLst/>
        </a:prstGeom>
        <a:solidFill>
          <a:schemeClr val="bg1">
            <a:lumMod val="95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nl-NL" sz="1400" b="1">
              <a:solidFill>
                <a:sysClr val="windowText" lastClr="000000"/>
              </a:solidFill>
            </a:rPr>
            <a:t>Extra</a:t>
          </a:r>
          <a:r>
            <a:rPr lang="nl-NL" sz="1400" b="1"/>
            <a:t> </a:t>
          </a:r>
          <a:r>
            <a:rPr lang="nl-NL" sz="1400" b="1">
              <a:solidFill>
                <a:sysClr val="windowText" lastClr="000000"/>
              </a:solidFill>
            </a:rPr>
            <a:t>land</a:t>
          </a:r>
        </a:p>
      </xdr:txBody>
    </xdr:sp>
    <xdr:clientData/>
  </xdr:twoCellAnchor>
  <xdr:twoCellAnchor>
    <xdr:from>
      <xdr:col>2</xdr:col>
      <xdr:colOff>865196</xdr:colOff>
      <xdr:row>0</xdr:row>
      <xdr:rowOff>79375</xdr:rowOff>
    </xdr:from>
    <xdr:to>
      <xdr:col>3</xdr:col>
      <xdr:colOff>1036071</xdr:colOff>
      <xdr:row>2</xdr:row>
      <xdr:rowOff>134937</xdr:rowOff>
    </xdr:to>
    <xdr:sp macro="" textlink="">
      <xdr:nvSpPr>
        <xdr:cNvPr id="23" name="Tekstvak 22">
          <a:hlinkClick xmlns:r="http://schemas.openxmlformats.org/officeDocument/2006/relationships" r:id="rId3"/>
          <a:extLst>
            <a:ext uri="{FF2B5EF4-FFF2-40B4-BE49-F238E27FC236}">
              <a16:creationId xmlns:a16="http://schemas.microsoft.com/office/drawing/2014/main" id="{00000000-0008-0000-0200-000017000000}"/>
            </a:ext>
          </a:extLst>
        </xdr:cNvPr>
        <xdr:cNvSpPr txBox="1"/>
      </xdr:nvSpPr>
      <xdr:spPr>
        <a:xfrm>
          <a:off x="2420946" y="79375"/>
          <a:ext cx="1044000" cy="420687"/>
        </a:xfrm>
        <a:prstGeom prst="homePlate">
          <a:avLst/>
        </a:prstGeom>
        <a:solidFill>
          <a:schemeClr val="accent2">
            <a:lumMod val="60000"/>
            <a:lumOff val="40000"/>
          </a:schemeClr>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nl-NL" sz="1400" b="1"/>
            <a:t>Bouwplan</a:t>
          </a:r>
        </a:p>
      </xdr:txBody>
    </xdr:sp>
    <xdr:clientData/>
  </xdr:twoCellAnchor>
  <xdr:twoCellAnchor>
    <xdr:from>
      <xdr:col>4</xdr:col>
      <xdr:colOff>7968</xdr:colOff>
      <xdr:row>0</xdr:row>
      <xdr:rowOff>79375</xdr:rowOff>
    </xdr:from>
    <xdr:to>
      <xdr:col>6</xdr:col>
      <xdr:colOff>194718</xdr:colOff>
      <xdr:row>2</xdr:row>
      <xdr:rowOff>134937</xdr:rowOff>
    </xdr:to>
    <xdr:sp macro="" textlink="">
      <xdr:nvSpPr>
        <xdr:cNvPr id="24" name="Tekstvak 23">
          <a:hlinkClick xmlns:r="http://schemas.openxmlformats.org/officeDocument/2006/relationships" r:id="rId4"/>
          <a:extLst>
            <a:ext uri="{FF2B5EF4-FFF2-40B4-BE49-F238E27FC236}">
              <a16:creationId xmlns:a16="http://schemas.microsoft.com/office/drawing/2014/main" id="{00000000-0008-0000-0200-000018000000}"/>
            </a:ext>
          </a:extLst>
        </xdr:cNvPr>
        <xdr:cNvSpPr txBox="1"/>
      </xdr:nvSpPr>
      <xdr:spPr>
        <a:xfrm>
          <a:off x="3532218" y="79375"/>
          <a:ext cx="1044000" cy="420687"/>
        </a:xfrm>
        <a:prstGeom prst="homePlate">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nl-NL" sz="1400" b="1"/>
            <a:t>Voer</a:t>
          </a:r>
          <a:endParaRPr lang="nl-NL" sz="1600" b="1"/>
        </a:p>
      </xdr:txBody>
    </xdr:sp>
    <xdr:clientData/>
  </xdr:twoCellAnchor>
  <xdr:twoCellAnchor>
    <xdr:from>
      <xdr:col>6</xdr:col>
      <xdr:colOff>261947</xdr:colOff>
      <xdr:row>0</xdr:row>
      <xdr:rowOff>87313</xdr:rowOff>
    </xdr:from>
    <xdr:to>
      <xdr:col>7</xdr:col>
      <xdr:colOff>83572</xdr:colOff>
      <xdr:row>2</xdr:row>
      <xdr:rowOff>142875</xdr:rowOff>
    </xdr:to>
    <xdr:sp macro="" textlink="">
      <xdr:nvSpPr>
        <xdr:cNvPr id="25" name="Tekstvak 24">
          <a:hlinkClick xmlns:r="http://schemas.openxmlformats.org/officeDocument/2006/relationships" r:id="rId5"/>
          <a:extLst>
            <a:ext uri="{FF2B5EF4-FFF2-40B4-BE49-F238E27FC236}">
              <a16:creationId xmlns:a16="http://schemas.microsoft.com/office/drawing/2014/main" id="{00000000-0008-0000-0200-000019000000}"/>
            </a:ext>
          </a:extLst>
        </xdr:cNvPr>
        <xdr:cNvSpPr txBox="1"/>
      </xdr:nvSpPr>
      <xdr:spPr>
        <a:xfrm>
          <a:off x="4643447" y="87313"/>
          <a:ext cx="1044000" cy="420687"/>
        </a:xfrm>
        <a:prstGeom prst="homePlate">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nl-NL" sz="1050" b="1"/>
            <a:t>Melk-productie</a:t>
          </a:r>
          <a:endParaRPr lang="nl-NL" sz="1400" b="1"/>
        </a:p>
      </xdr:txBody>
    </xdr:sp>
    <xdr:clientData/>
  </xdr:twoCellAnchor>
  <xdr:twoCellAnchor>
    <xdr:from>
      <xdr:col>7</xdr:col>
      <xdr:colOff>152404</xdr:colOff>
      <xdr:row>0</xdr:row>
      <xdr:rowOff>88899</xdr:rowOff>
    </xdr:from>
    <xdr:to>
      <xdr:col>8</xdr:col>
      <xdr:colOff>791591</xdr:colOff>
      <xdr:row>2</xdr:row>
      <xdr:rowOff>144461</xdr:rowOff>
    </xdr:to>
    <xdr:sp macro="" textlink="">
      <xdr:nvSpPr>
        <xdr:cNvPr id="26" name="Tekstvak 25">
          <a:hlinkClick xmlns:r="http://schemas.openxmlformats.org/officeDocument/2006/relationships" r:id="rId6"/>
          <a:extLst>
            <a:ext uri="{FF2B5EF4-FFF2-40B4-BE49-F238E27FC236}">
              <a16:creationId xmlns:a16="http://schemas.microsoft.com/office/drawing/2014/main" id="{00000000-0008-0000-0200-00001A000000}"/>
            </a:ext>
          </a:extLst>
        </xdr:cNvPr>
        <xdr:cNvSpPr txBox="1"/>
      </xdr:nvSpPr>
      <xdr:spPr>
        <a:xfrm>
          <a:off x="5756279" y="88899"/>
          <a:ext cx="1044000" cy="420687"/>
        </a:xfrm>
        <a:prstGeom prst="homePlate">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nl-NL" sz="1000" b="1"/>
            <a:t>Toegerekende kosten</a:t>
          </a:r>
        </a:p>
      </xdr:txBody>
    </xdr:sp>
    <xdr:clientData/>
  </xdr:twoCellAnchor>
  <xdr:twoCellAnchor>
    <xdr:from>
      <xdr:col>8</xdr:col>
      <xdr:colOff>860431</xdr:colOff>
      <xdr:row>0</xdr:row>
      <xdr:rowOff>98421</xdr:rowOff>
    </xdr:from>
    <xdr:to>
      <xdr:col>9</xdr:col>
      <xdr:colOff>539181</xdr:colOff>
      <xdr:row>2</xdr:row>
      <xdr:rowOff>153983</xdr:rowOff>
    </xdr:to>
    <xdr:sp macro="" textlink="">
      <xdr:nvSpPr>
        <xdr:cNvPr id="27" name="Tekstvak 26">
          <a:hlinkClick xmlns:r="http://schemas.openxmlformats.org/officeDocument/2006/relationships" r:id="rId7"/>
          <a:extLst>
            <a:ext uri="{FF2B5EF4-FFF2-40B4-BE49-F238E27FC236}">
              <a16:creationId xmlns:a16="http://schemas.microsoft.com/office/drawing/2014/main" id="{00000000-0008-0000-0200-00001B000000}"/>
            </a:ext>
          </a:extLst>
        </xdr:cNvPr>
        <xdr:cNvSpPr txBox="1"/>
      </xdr:nvSpPr>
      <xdr:spPr>
        <a:xfrm>
          <a:off x="6869119" y="98421"/>
          <a:ext cx="1044000" cy="420687"/>
        </a:xfrm>
        <a:prstGeom prst="homePlate">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nl-NL" sz="1400" b="1"/>
            <a:t>Resultaat</a:t>
          </a:r>
        </a:p>
      </xdr:txBody>
    </xdr:sp>
    <xdr:clientData/>
  </xdr:twoCellAnchor>
</xdr:wsDr>
</file>

<file path=xl/drawings/drawing3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4</xdr:row>
          <xdr:rowOff>0</xdr:rowOff>
        </xdr:from>
        <xdr:to>
          <xdr:col>2</xdr:col>
          <xdr:colOff>0</xdr:colOff>
          <xdr:row>5</xdr:row>
          <xdr:rowOff>0</xdr:rowOff>
        </xdr:to>
        <xdr:sp macro="" textlink="">
          <xdr:nvSpPr>
            <xdr:cNvPr id="29697" name="Option Button 1" hidden="1">
              <a:extLst>
                <a:ext uri="{63B3BB69-23CF-44E3-9099-C40C66FF867C}">
                  <a14:compatExt spid="_x0000_s29697"/>
                </a:ext>
                <a:ext uri="{FF2B5EF4-FFF2-40B4-BE49-F238E27FC236}">
                  <a16:creationId xmlns:a16="http://schemas.microsoft.com/office/drawing/2014/main" id="{00000000-0008-0000-1D00-00000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NL" sz="800" b="0" i="0" u="none" strike="noStrike" baseline="0">
                  <a:solidFill>
                    <a:srgbClr val="000000"/>
                  </a:solidFill>
                  <a:latin typeface="Segoe UI"/>
                  <a:cs typeface="Segoe UI"/>
                </a:rPr>
                <a:t>Gemiddelde gebruiken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xdr:row>
          <xdr:rowOff>182880</xdr:rowOff>
        </xdr:from>
        <xdr:to>
          <xdr:col>2</xdr:col>
          <xdr:colOff>0</xdr:colOff>
          <xdr:row>6</xdr:row>
          <xdr:rowOff>7620</xdr:rowOff>
        </xdr:to>
        <xdr:sp macro="" textlink="">
          <xdr:nvSpPr>
            <xdr:cNvPr id="29698" name="Option Button 2" hidden="1">
              <a:extLst>
                <a:ext uri="{63B3BB69-23CF-44E3-9099-C40C66FF867C}">
                  <a14:compatExt spid="_x0000_s29698"/>
                </a:ext>
                <a:ext uri="{FF2B5EF4-FFF2-40B4-BE49-F238E27FC236}">
                  <a16:creationId xmlns:a16="http://schemas.microsoft.com/office/drawing/2014/main" id="{00000000-0008-0000-1D00-00000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NL" sz="800" b="0" i="0" u="none" strike="noStrike" baseline="0">
                  <a:solidFill>
                    <a:srgbClr val="000000"/>
                  </a:solidFill>
                  <a:latin typeface="Segoe UI"/>
                  <a:cs typeface="Segoe UI"/>
                </a:rPr>
                <a:t>Huidige invoer gebruiken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xdr:row>
          <xdr:rowOff>182880</xdr:rowOff>
        </xdr:from>
        <xdr:to>
          <xdr:col>2</xdr:col>
          <xdr:colOff>0</xdr:colOff>
          <xdr:row>7</xdr:row>
          <xdr:rowOff>7620</xdr:rowOff>
        </xdr:to>
        <xdr:sp macro="" textlink="">
          <xdr:nvSpPr>
            <xdr:cNvPr id="29699" name="Option Button 3" hidden="1">
              <a:extLst>
                <a:ext uri="{63B3BB69-23CF-44E3-9099-C40C66FF867C}">
                  <a14:compatExt spid="_x0000_s29699"/>
                </a:ext>
                <a:ext uri="{FF2B5EF4-FFF2-40B4-BE49-F238E27FC236}">
                  <a16:creationId xmlns:a16="http://schemas.microsoft.com/office/drawing/2014/main" id="{00000000-0008-0000-1D00-00000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NL" sz="800" b="0" i="0" u="none" strike="noStrike" baseline="0">
                  <a:solidFill>
                    <a:srgbClr val="000000"/>
                  </a:solidFill>
                  <a:latin typeface="Segoe UI"/>
                  <a:cs typeface="Segoe UI"/>
                </a:rPr>
                <a:t>Eigen invoer gebruiken</a:t>
              </a:r>
            </a:p>
          </xdr:txBody>
        </xdr:sp>
        <xdr:clientData/>
      </xdr:twoCellAnchor>
    </mc:Choice>
    <mc:Fallback/>
  </mc:AlternateContent>
  <xdr:twoCellAnchor>
    <xdr:from>
      <xdr:col>5</xdr:col>
      <xdr:colOff>18144</xdr:colOff>
      <xdr:row>10</xdr:row>
      <xdr:rowOff>9071</xdr:rowOff>
    </xdr:from>
    <xdr:to>
      <xdr:col>5</xdr:col>
      <xdr:colOff>187087</xdr:colOff>
      <xdr:row>10</xdr:row>
      <xdr:rowOff>178599</xdr:rowOff>
    </xdr:to>
    <xdr:pic>
      <xdr:nvPicPr>
        <xdr:cNvPr id="6" name="Afbeelding 5">
          <a:extLst>
            <a:ext uri="{FF2B5EF4-FFF2-40B4-BE49-F238E27FC236}">
              <a16:creationId xmlns:a16="http://schemas.microsoft.com/office/drawing/2014/main" id="{00000000-0008-0000-1D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9994" y="1126671"/>
          <a:ext cx="168943" cy="1695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18144</xdr:colOff>
      <xdr:row>9</xdr:row>
      <xdr:rowOff>9072</xdr:rowOff>
    </xdr:from>
    <xdr:to>
      <xdr:col>5</xdr:col>
      <xdr:colOff>187087</xdr:colOff>
      <xdr:row>9</xdr:row>
      <xdr:rowOff>178600</xdr:rowOff>
    </xdr:to>
    <xdr:pic>
      <xdr:nvPicPr>
        <xdr:cNvPr id="7" name="Afbeelding 6">
          <a:extLst>
            <a:ext uri="{FF2B5EF4-FFF2-40B4-BE49-F238E27FC236}">
              <a16:creationId xmlns:a16="http://schemas.microsoft.com/office/drawing/2014/main" id="{00000000-0008-0000-1D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9994" y="942522"/>
          <a:ext cx="168943" cy="1695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18143</xdr:colOff>
      <xdr:row>11</xdr:row>
      <xdr:rowOff>18143</xdr:rowOff>
    </xdr:from>
    <xdr:to>
      <xdr:col>5</xdr:col>
      <xdr:colOff>187086</xdr:colOff>
      <xdr:row>12</xdr:row>
      <xdr:rowOff>6243</xdr:rowOff>
    </xdr:to>
    <xdr:pic>
      <xdr:nvPicPr>
        <xdr:cNvPr id="8" name="Afbeelding 7">
          <a:extLst>
            <a:ext uri="{FF2B5EF4-FFF2-40B4-BE49-F238E27FC236}">
              <a16:creationId xmlns:a16="http://schemas.microsoft.com/office/drawing/2014/main" id="{00000000-0008-0000-1D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9993" y="1319893"/>
          <a:ext cx="168943" cy="172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18144</xdr:colOff>
      <xdr:row>10</xdr:row>
      <xdr:rowOff>9071</xdr:rowOff>
    </xdr:from>
    <xdr:to>
      <xdr:col>5</xdr:col>
      <xdr:colOff>187087</xdr:colOff>
      <xdr:row>10</xdr:row>
      <xdr:rowOff>178599</xdr:rowOff>
    </xdr:to>
    <xdr:pic>
      <xdr:nvPicPr>
        <xdr:cNvPr id="9" name="Afbeelding 8">
          <a:extLst>
            <a:ext uri="{FF2B5EF4-FFF2-40B4-BE49-F238E27FC236}">
              <a16:creationId xmlns:a16="http://schemas.microsoft.com/office/drawing/2014/main" id="{00000000-0008-0000-1D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9994" y="1126671"/>
          <a:ext cx="168943" cy="169528"/>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xdr:from>
      <xdr:col>5</xdr:col>
      <xdr:colOff>18144</xdr:colOff>
      <xdr:row>9</xdr:row>
      <xdr:rowOff>9072</xdr:rowOff>
    </xdr:from>
    <xdr:to>
      <xdr:col>5</xdr:col>
      <xdr:colOff>187087</xdr:colOff>
      <xdr:row>9</xdr:row>
      <xdr:rowOff>178600</xdr:rowOff>
    </xdr:to>
    <xdr:pic>
      <xdr:nvPicPr>
        <xdr:cNvPr id="10" name="Afbeelding 9">
          <a:extLst>
            <a:ext uri="{FF2B5EF4-FFF2-40B4-BE49-F238E27FC236}">
              <a16:creationId xmlns:a16="http://schemas.microsoft.com/office/drawing/2014/main" id="{00000000-0008-0000-1D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9994" y="942522"/>
          <a:ext cx="168943" cy="169528"/>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xdr:from>
      <xdr:col>5</xdr:col>
      <xdr:colOff>18143</xdr:colOff>
      <xdr:row>11</xdr:row>
      <xdr:rowOff>18143</xdr:rowOff>
    </xdr:from>
    <xdr:to>
      <xdr:col>5</xdr:col>
      <xdr:colOff>187086</xdr:colOff>
      <xdr:row>12</xdr:row>
      <xdr:rowOff>6243</xdr:rowOff>
    </xdr:to>
    <xdr:pic>
      <xdr:nvPicPr>
        <xdr:cNvPr id="11" name="Afbeelding 10">
          <a:extLst>
            <a:ext uri="{FF2B5EF4-FFF2-40B4-BE49-F238E27FC236}">
              <a16:creationId xmlns:a16="http://schemas.microsoft.com/office/drawing/2014/main" id="{00000000-0008-0000-1D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9993" y="1319893"/>
          <a:ext cx="168943" cy="17225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xdr:from>
      <xdr:col>1</xdr:col>
      <xdr:colOff>47628</xdr:colOff>
      <xdr:row>1</xdr:row>
      <xdr:rowOff>55562</xdr:rowOff>
    </xdr:from>
    <xdr:to>
      <xdr:col>1</xdr:col>
      <xdr:colOff>515628</xdr:colOff>
      <xdr:row>2</xdr:row>
      <xdr:rowOff>125000</xdr:rowOff>
    </xdr:to>
    <xdr:sp macro="" textlink="">
      <xdr:nvSpPr>
        <xdr:cNvPr id="14" name="Pijl: rechts 24">
          <a:hlinkClick xmlns:r="http://schemas.openxmlformats.org/officeDocument/2006/relationships" r:id="rId2"/>
          <a:extLst>
            <a:ext uri="{FF2B5EF4-FFF2-40B4-BE49-F238E27FC236}">
              <a16:creationId xmlns:a16="http://schemas.microsoft.com/office/drawing/2014/main" id="{00000000-0008-0000-1D00-00000E000000}"/>
            </a:ext>
          </a:extLst>
        </xdr:cNvPr>
        <xdr:cNvSpPr>
          <a:spLocks/>
        </xdr:cNvSpPr>
      </xdr:nvSpPr>
      <xdr:spPr>
        <a:xfrm flipH="1">
          <a:off x="238128" y="239712"/>
          <a:ext cx="468000" cy="253588"/>
        </a:xfrm>
        <a:prstGeom prst="rightArrow">
          <a:avLst/>
        </a:prstGeom>
      </xdr:spPr>
      <xdr:style>
        <a:lnRef idx="0">
          <a:schemeClr val="dk1"/>
        </a:lnRef>
        <a:fillRef idx="3">
          <a:schemeClr val="dk1"/>
        </a:fillRef>
        <a:effectRef idx="3">
          <a:schemeClr val="dk1"/>
        </a:effectRef>
        <a:fontRef idx="minor">
          <a:schemeClr val="lt1"/>
        </a:fontRef>
      </xdr:style>
      <xdr:txBody>
        <a:bodyPr vertOverflow="clip" horzOverflow="clip" rtlCol="0" anchor="t"/>
        <a:lstStyle/>
        <a:p>
          <a:pPr algn="l"/>
          <a:endParaRPr lang="nl-NL" sz="1100"/>
        </a:p>
      </xdr:txBody>
    </xdr:sp>
    <xdr:clientData/>
  </xdr:twoCellAnchor>
</xdr:wsDr>
</file>

<file path=xl/drawings/drawing3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4</xdr:row>
          <xdr:rowOff>0</xdr:rowOff>
        </xdr:from>
        <xdr:to>
          <xdr:col>2</xdr:col>
          <xdr:colOff>0</xdr:colOff>
          <xdr:row>5</xdr:row>
          <xdr:rowOff>0</xdr:rowOff>
        </xdr:to>
        <xdr:sp macro="" textlink="">
          <xdr:nvSpPr>
            <xdr:cNvPr id="30721" name="Option Button 1" hidden="1">
              <a:extLst>
                <a:ext uri="{63B3BB69-23CF-44E3-9099-C40C66FF867C}">
                  <a14:compatExt spid="_x0000_s30721"/>
                </a:ext>
                <a:ext uri="{FF2B5EF4-FFF2-40B4-BE49-F238E27FC236}">
                  <a16:creationId xmlns:a16="http://schemas.microsoft.com/office/drawing/2014/main" id="{00000000-0008-0000-1E00-00000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NL" sz="800" b="0" i="0" u="none" strike="noStrike" baseline="0">
                  <a:solidFill>
                    <a:srgbClr val="000000"/>
                  </a:solidFill>
                  <a:latin typeface="Segoe UI"/>
                  <a:cs typeface="Segoe UI"/>
                </a:rPr>
                <a:t>Gemiddelde gebruiken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0</xdr:rowOff>
        </xdr:to>
        <xdr:sp macro="" textlink="">
          <xdr:nvSpPr>
            <xdr:cNvPr id="30722" name="Option Button 2" hidden="1">
              <a:extLst>
                <a:ext uri="{63B3BB69-23CF-44E3-9099-C40C66FF867C}">
                  <a14:compatExt spid="_x0000_s30722"/>
                </a:ext>
                <a:ext uri="{FF2B5EF4-FFF2-40B4-BE49-F238E27FC236}">
                  <a16:creationId xmlns:a16="http://schemas.microsoft.com/office/drawing/2014/main" id="{00000000-0008-0000-1E00-00000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NL" sz="800" b="0" i="0" u="none" strike="noStrike" baseline="0">
                  <a:solidFill>
                    <a:srgbClr val="000000"/>
                  </a:solidFill>
                  <a:latin typeface="Segoe UI"/>
                  <a:cs typeface="Segoe UI"/>
                </a:rPr>
                <a:t>Huidige invoer gebruiken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xdr:row>
          <xdr:rowOff>0</xdr:rowOff>
        </xdr:from>
        <xdr:to>
          <xdr:col>2</xdr:col>
          <xdr:colOff>0</xdr:colOff>
          <xdr:row>7</xdr:row>
          <xdr:rowOff>0</xdr:rowOff>
        </xdr:to>
        <xdr:sp macro="" textlink="">
          <xdr:nvSpPr>
            <xdr:cNvPr id="30723" name="Option Button 3" hidden="1">
              <a:extLst>
                <a:ext uri="{63B3BB69-23CF-44E3-9099-C40C66FF867C}">
                  <a14:compatExt spid="_x0000_s30723"/>
                </a:ext>
                <a:ext uri="{FF2B5EF4-FFF2-40B4-BE49-F238E27FC236}">
                  <a16:creationId xmlns:a16="http://schemas.microsoft.com/office/drawing/2014/main" id="{00000000-0008-0000-1E00-00000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NL" sz="800" b="0" i="0" u="none" strike="noStrike" baseline="0">
                  <a:solidFill>
                    <a:srgbClr val="000000"/>
                  </a:solidFill>
                  <a:latin typeface="Segoe UI"/>
                  <a:cs typeface="Segoe UI"/>
                </a:rPr>
                <a:t>Eigen invoer gebruiken</a:t>
              </a:r>
            </a:p>
          </xdr:txBody>
        </xdr:sp>
        <xdr:clientData/>
      </xdr:twoCellAnchor>
    </mc:Choice>
    <mc:Fallback/>
  </mc:AlternateContent>
  <xdr:twoCellAnchor>
    <xdr:from>
      <xdr:col>5</xdr:col>
      <xdr:colOff>18144</xdr:colOff>
      <xdr:row>10</xdr:row>
      <xdr:rowOff>9071</xdr:rowOff>
    </xdr:from>
    <xdr:to>
      <xdr:col>5</xdr:col>
      <xdr:colOff>187087</xdr:colOff>
      <xdr:row>10</xdr:row>
      <xdr:rowOff>178599</xdr:rowOff>
    </xdr:to>
    <xdr:pic>
      <xdr:nvPicPr>
        <xdr:cNvPr id="6" name="Afbeelding 5">
          <a:extLst>
            <a:ext uri="{FF2B5EF4-FFF2-40B4-BE49-F238E27FC236}">
              <a16:creationId xmlns:a16="http://schemas.microsoft.com/office/drawing/2014/main" id="{00000000-0008-0000-1E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9994" y="1126671"/>
          <a:ext cx="168943" cy="169528"/>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xdr:from>
      <xdr:col>5</xdr:col>
      <xdr:colOff>18144</xdr:colOff>
      <xdr:row>9</xdr:row>
      <xdr:rowOff>9072</xdr:rowOff>
    </xdr:from>
    <xdr:to>
      <xdr:col>5</xdr:col>
      <xdr:colOff>187087</xdr:colOff>
      <xdr:row>9</xdr:row>
      <xdr:rowOff>178600</xdr:rowOff>
    </xdr:to>
    <xdr:pic>
      <xdr:nvPicPr>
        <xdr:cNvPr id="7" name="Afbeelding 6">
          <a:extLst>
            <a:ext uri="{FF2B5EF4-FFF2-40B4-BE49-F238E27FC236}">
              <a16:creationId xmlns:a16="http://schemas.microsoft.com/office/drawing/2014/main" id="{00000000-0008-0000-1E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9994" y="942522"/>
          <a:ext cx="168943" cy="169528"/>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xdr:from>
      <xdr:col>5</xdr:col>
      <xdr:colOff>18143</xdr:colOff>
      <xdr:row>11</xdr:row>
      <xdr:rowOff>18143</xdr:rowOff>
    </xdr:from>
    <xdr:to>
      <xdr:col>5</xdr:col>
      <xdr:colOff>187086</xdr:colOff>
      <xdr:row>12</xdr:row>
      <xdr:rowOff>6243</xdr:rowOff>
    </xdr:to>
    <xdr:pic>
      <xdr:nvPicPr>
        <xdr:cNvPr id="8" name="Afbeelding 7">
          <a:extLst>
            <a:ext uri="{FF2B5EF4-FFF2-40B4-BE49-F238E27FC236}">
              <a16:creationId xmlns:a16="http://schemas.microsoft.com/office/drawing/2014/main" id="{00000000-0008-0000-1E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9993" y="1319893"/>
          <a:ext cx="168943" cy="17225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xdr:from>
      <xdr:col>1</xdr:col>
      <xdr:colOff>47628</xdr:colOff>
      <xdr:row>1</xdr:row>
      <xdr:rowOff>55562</xdr:rowOff>
    </xdr:from>
    <xdr:to>
      <xdr:col>1</xdr:col>
      <xdr:colOff>515628</xdr:colOff>
      <xdr:row>2</xdr:row>
      <xdr:rowOff>125000</xdr:rowOff>
    </xdr:to>
    <xdr:sp macro="" textlink="">
      <xdr:nvSpPr>
        <xdr:cNvPr id="11" name="Pijl: rechts 24">
          <a:hlinkClick xmlns:r="http://schemas.openxmlformats.org/officeDocument/2006/relationships" r:id="rId2"/>
          <a:extLst>
            <a:ext uri="{FF2B5EF4-FFF2-40B4-BE49-F238E27FC236}">
              <a16:creationId xmlns:a16="http://schemas.microsoft.com/office/drawing/2014/main" id="{00000000-0008-0000-1E00-00000B000000}"/>
            </a:ext>
          </a:extLst>
        </xdr:cNvPr>
        <xdr:cNvSpPr>
          <a:spLocks/>
        </xdr:cNvSpPr>
      </xdr:nvSpPr>
      <xdr:spPr>
        <a:xfrm flipH="1">
          <a:off x="238128" y="239712"/>
          <a:ext cx="468000" cy="253588"/>
        </a:xfrm>
        <a:prstGeom prst="rightArrow">
          <a:avLst/>
        </a:prstGeom>
      </xdr:spPr>
      <xdr:style>
        <a:lnRef idx="0">
          <a:schemeClr val="dk1"/>
        </a:lnRef>
        <a:fillRef idx="3">
          <a:schemeClr val="dk1"/>
        </a:fillRef>
        <a:effectRef idx="3">
          <a:schemeClr val="dk1"/>
        </a:effectRef>
        <a:fontRef idx="minor">
          <a:schemeClr val="lt1"/>
        </a:fontRef>
      </xdr:style>
      <xdr:txBody>
        <a:bodyPr vertOverflow="clip" horzOverflow="clip" rtlCol="0" anchor="t"/>
        <a:lstStyle/>
        <a:p>
          <a:pPr algn="l"/>
          <a:endParaRPr lang="nl-NL" sz="1100"/>
        </a:p>
      </xdr:txBody>
    </xdr:sp>
    <xdr:clientData/>
  </xdr:twoCellAnchor>
</xdr:wsDr>
</file>

<file path=xl/drawings/drawing3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4</xdr:row>
          <xdr:rowOff>0</xdr:rowOff>
        </xdr:from>
        <xdr:to>
          <xdr:col>2</xdr:col>
          <xdr:colOff>0</xdr:colOff>
          <xdr:row>5</xdr:row>
          <xdr:rowOff>7620</xdr:rowOff>
        </xdr:to>
        <xdr:sp macro="" textlink="">
          <xdr:nvSpPr>
            <xdr:cNvPr id="31745" name="Option Button 1" hidden="1">
              <a:extLst>
                <a:ext uri="{63B3BB69-23CF-44E3-9099-C40C66FF867C}">
                  <a14:compatExt spid="_x0000_s31745"/>
                </a:ext>
                <a:ext uri="{FF2B5EF4-FFF2-40B4-BE49-F238E27FC236}">
                  <a16:creationId xmlns:a16="http://schemas.microsoft.com/office/drawing/2014/main" id="{00000000-0008-0000-1F00-00000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NL" sz="800" b="0" i="0" u="none" strike="noStrike" baseline="0">
                  <a:solidFill>
                    <a:srgbClr val="000000"/>
                  </a:solidFill>
                  <a:latin typeface="Segoe UI"/>
                  <a:cs typeface="Segoe UI"/>
                </a:rPr>
                <a:t>Gemiddelde gebruiken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0</xdr:rowOff>
        </xdr:to>
        <xdr:sp macro="" textlink="">
          <xdr:nvSpPr>
            <xdr:cNvPr id="31746" name="Option Button 2" hidden="1">
              <a:extLst>
                <a:ext uri="{63B3BB69-23CF-44E3-9099-C40C66FF867C}">
                  <a14:compatExt spid="_x0000_s31746"/>
                </a:ext>
                <a:ext uri="{FF2B5EF4-FFF2-40B4-BE49-F238E27FC236}">
                  <a16:creationId xmlns:a16="http://schemas.microsoft.com/office/drawing/2014/main" id="{00000000-0008-0000-1F00-00000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NL" sz="800" b="0" i="0" u="none" strike="noStrike" baseline="0">
                  <a:solidFill>
                    <a:srgbClr val="000000"/>
                  </a:solidFill>
                  <a:latin typeface="Segoe UI"/>
                  <a:cs typeface="Segoe UI"/>
                </a:rPr>
                <a:t>Huidige invoer gebruiken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xdr:row>
          <xdr:rowOff>0</xdr:rowOff>
        </xdr:from>
        <xdr:to>
          <xdr:col>2</xdr:col>
          <xdr:colOff>0</xdr:colOff>
          <xdr:row>7</xdr:row>
          <xdr:rowOff>0</xdr:rowOff>
        </xdr:to>
        <xdr:sp macro="" textlink="">
          <xdr:nvSpPr>
            <xdr:cNvPr id="31747" name="Option Button 3" hidden="1">
              <a:extLst>
                <a:ext uri="{63B3BB69-23CF-44E3-9099-C40C66FF867C}">
                  <a14:compatExt spid="_x0000_s31747"/>
                </a:ext>
                <a:ext uri="{FF2B5EF4-FFF2-40B4-BE49-F238E27FC236}">
                  <a16:creationId xmlns:a16="http://schemas.microsoft.com/office/drawing/2014/main" id="{00000000-0008-0000-1F00-00000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NL" sz="800" b="0" i="0" u="none" strike="noStrike" baseline="0">
                  <a:solidFill>
                    <a:srgbClr val="000000"/>
                  </a:solidFill>
                  <a:latin typeface="Segoe UI"/>
                  <a:cs typeface="Segoe UI"/>
                </a:rPr>
                <a:t>Eigen invoer gebruiken</a:t>
              </a:r>
            </a:p>
          </xdr:txBody>
        </xdr:sp>
        <xdr:clientData/>
      </xdr:twoCellAnchor>
    </mc:Choice>
    <mc:Fallback/>
  </mc:AlternateContent>
  <xdr:twoCellAnchor>
    <xdr:from>
      <xdr:col>5</xdr:col>
      <xdr:colOff>18144</xdr:colOff>
      <xdr:row>10</xdr:row>
      <xdr:rowOff>9071</xdr:rowOff>
    </xdr:from>
    <xdr:to>
      <xdr:col>5</xdr:col>
      <xdr:colOff>187087</xdr:colOff>
      <xdr:row>10</xdr:row>
      <xdr:rowOff>178599</xdr:rowOff>
    </xdr:to>
    <xdr:pic>
      <xdr:nvPicPr>
        <xdr:cNvPr id="6" name="Afbeelding 5">
          <a:extLst>
            <a:ext uri="{FF2B5EF4-FFF2-40B4-BE49-F238E27FC236}">
              <a16:creationId xmlns:a16="http://schemas.microsoft.com/office/drawing/2014/main" id="{00000000-0008-0000-1F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9994" y="1126671"/>
          <a:ext cx="168943" cy="1695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18144</xdr:colOff>
      <xdr:row>9</xdr:row>
      <xdr:rowOff>9072</xdr:rowOff>
    </xdr:from>
    <xdr:to>
      <xdr:col>5</xdr:col>
      <xdr:colOff>187087</xdr:colOff>
      <xdr:row>9</xdr:row>
      <xdr:rowOff>178600</xdr:rowOff>
    </xdr:to>
    <xdr:pic>
      <xdr:nvPicPr>
        <xdr:cNvPr id="7" name="Afbeelding 6">
          <a:extLst>
            <a:ext uri="{FF2B5EF4-FFF2-40B4-BE49-F238E27FC236}">
              <a16:creationId xmlns:a16="http://schemas.microsoft.com/office/drawing/2014/main" id="{00000000-0008-0000-1F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9994" y="942522"/>
          <a:ext cx="168943" cy="1695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18143</xdr:colOff>
      <xdr:row>11</xdr:row>
      <xdr:rowOff>18143</xdr:rowOff>
    </xdr:from>
    <xdr:to>
      <xdr:col>5</xdr:col>
      <xdr:colOff>187086</xdr:colOff>
      <xdr:row>12</xdr:row>
      <xdr:rowOff>6243</xdr:rowOff>
    </xdr:to>
    <xdr:pic>
      <xdr:nvPicPr>
        <xdr:cNvPr id="8" name="Afbeelding 7">
          <a:extLst>
            <a:ext uri="{FF2B5EF4-FFF2-40B4-BE49-F238E27FC236}">
              <a16:creationId xmlns:a16="http://schemas.microsoft.com/office/drawing/2014/main" id="{00000000-0008-0000-1F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9993" y="1319893"/>
          <a:ext cx="168943" cy="172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18144</xdr:colOff>
      <xdr:row>10</xdr:row>
      <xdr:rowOff>9071</xdr:rowOff>
    </xdr:from>
    <xdr:to>
      <xdr:col>5</xdr:col>
      <xdr:colOff>187087</xdr:colOff>
      <xdr:row>10</xdr:row>
      <xdr:rowOff>178599</xdr:rowOff>
    </xdr:to>
    <xdr:pic>
      <xdr:nvPicPr>
        <xdr:cNvPr id="9" name="Afbeelding 8">
          <a:extLst>
            <a:ext uri="{FF2B5EF4-FFF2-40B4-BE49-F238E27FC236}">
              <a16:creationId xmlns:a16="http://schemas.microsoft.com/office/drawing/2014/main" id="{00000000-0008-0000-1F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9994" y="1113971"/>
          <a:ext cx="168943" cy="169528"/>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xdr:from>
      <xdr:col>5</xdr:col>
      <xdr:colOff>18144</xdr:colOff>
      <xdr:row>9</xdr:row>
      <xdr:rowOff>9072</xdr:rowOff>
    </xdr:from>
    <xdr:to>
      <xdr:col>5</xdr:col>
      <xdr:colOff>187087</xdr:colOff>
      <xdr:row>9</xdr:row>
      <xdr:rowOff>178600</xdr:rowOff>
    </xdr:to>
    <xdr:pic>
      <xdr:nvPicPr>
        <xdr:cNvPr id="10" name="Afbeelding 9">
          <a:extLst>
            <a:ext uri="{FF2B5EF4-FFF2-40B4-BE49-F238E27FC236}">
              <a16:creationId xmlns:a16="http://schemas.microsoft.com/office/drawing/2014/main" id="{00000000-0008-0000-1F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9994" y="929822"/>
          <a:ext cx="168943" cy="169528"/>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xdr:from>
      <xdr:col>5</xdr:col>
      <xdr:colOff>18143</xdr:colOff>
      <xdr:row>11</xdr:row>
      <xdr:rowOff>18143</xdr:rowOff>
    </xdr:from>
    <xdr:to>
      <xdr:col>5</xdr:col>
      <xdr:colOff>187086</xdr:colOff>
      <xdr:row>12</xdr:row>
      <xdr:rowOff>6243</xdr:rowOff>
    </xdr:to>
    <xdr:pic>
      <xdr:nvPicPr>
        <xdr:cNvPr id="11" name="Afbeelding 10">
          <a:extLst>
            <a:ext uri="{FF2B5EF4-FFF2-40B4-BE49-F238E27FC236}">
              <a16:creationId xmlns:a16="http://schemas.microsoft.com/office/drawing/2014/main" id="{00000000-0008-0000-1F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9993" y="1307193"/>
          <a:ext cx="168943" cy="17225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xdr:from>
      <xdr:col>1</xdr:col>
      <xdr:colOff>47628</xdr:colOff>
      <xdr:row>1</xdr:row>
      <xdr:rowOff>55562</xdr:rowOff>
    </xdr:from>
    <xdr:to>
      <xdr:col>1</xdr:col>
      <xdr:colOff>515628</xdr:colOff>
      <xdr:row>2</xdr:row>
      <xdr:rowOff>125000</xdr:rowOff>
    </xdr:to>
    <xdr:sp macro="" textlink="">
      <xdr:nvSpPr>
        <xdr:cNvPr id="14" name="Pijl: rechts 24">
          <a:hlinkClick xmlns:r="http://schemas.openxmlformats.org/officeDocument/2006/relationships" r:id="rId2"/>
          <a:extLst>
            <a:ext uri="{FF2B5EF4-FFF2-40B4-BE49-F238E27FC236}">
              <a16:creationId xmlns:a16="http://schemas.microsoft.com/office/drawing/2014/main" id="{00000000-0008-0000-1F00-00000E000000}"/>
            </a:ext>
          </a:extLst>
        </xdr:cNvPr>
        <xdr:cNvSpPr>
          <a:spLocks/>
        </xdr:cNvSpPr>
      </xdr:nvSpPr>
      <xdr:spPr>
        <a:xfrm flipH="1">
          <a:off x="238128" y="239712"/>
          <a:ext cx="468000" cy="253588"/>
        </a:xfrm>
        <a:prstGeom prst="rightArrow">
          <a:avLst/>
        </a:prstGeom>
      </xdr:spPr>
      <xdr:style>
        <a:lnRef idx="0">
          <a:schemeClr val="dk1"/>
        </a:lnRef>
        <a:fillRef idx="3">
          <a:schemeClr val="dk1"/>
        </a:fillRef>
        <a:effectRef idx="3">
          <a:schemeClr val="dk1"/>
        </a:effectRef>
        <a:fontRef idx="minor">
          <a:schemeClr val="lt1"/>
        </a:fontRef>
      </xdr:style>
      <xdr:txBody>
        <a:bodyPr vertOverflow="clip" horzOverflow="clip" rtlCol="0" anchor="t"/>
        <a:lstStyle/>
        <a:p>
          <a:pPr algn="l"/>
          <a:endParaRPr lang="nl-NL" sz="1100"/>
        </a:p>
      </xdr:txBody>
    </xdr:sp>
    <xdr:clientData/>
  </xdr:twoCellAnchor>
</xdr:wsDr>
</file>

<file path=xl/drawings/drawing3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4</xdr:row>
          <xdr:rowOff>0</xdr:rowOff>
        </xdr:from>
        <xdr:to>
          <xdr:col>2</xdr:col>
          <xdr:colOff>0</xdr:colOff>
          <xdr:row>5</xdr:row>
          <xdr:rowOff>0</xdr:rowOff>
        </xdr:to>
        <xdr:sp macro="" textlink="">
          <xdr:nvSpPr>
            <xdr:cNvPr id="32769" name="Option Button 1" hidden="1">
              <a:extLst>
                <a:ext uri="{63B3BB69-23CF-44E3-9099-C40C66FF867C}">
                  <a14:compatExt spid="_x0000_s32769"/>
                </a:ext>
                <a:ext uri="{FF2B5EF4-FFF2-40B4-BE49-F238E27FC236}">
                  <a16:creationId xmlns:a16="http://schemas.microsoft.com/office/drawing/2014/main" id="{00000000-0008-0000-2000-00000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NL" sz="800" b="0" i="0" u="none" strike="noStrike" baseline="0">
                  <a:solidFill>
                    <a:srgbClr val="000000"/>
                  </a:solidFill>
                  <a:latin typeface="Segoe UI"/>
                  <a:cs typeface="Segoe UI"/>
                </a:rPr>
                <a:t>Gemiddelde gebruiken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0</xdr:rowOff>
        </xdr:to>
        <xdr:sp macro="" textlink="">
          <xdr:nvSpPr>
            <xdr:cNvPr id="32770" name="Option Button 2" hidden="1">
              <a:extLst>
                <a:ext uri="{63B3BB69-23CF-44E3-9099-C40C66FF867C}">
                  <a14:compatExt spid="_x0000_s32770"/>
                </a:ext>
                <a:ext uri="{FF2B5EF4-FFF2-40B4-BE49-F238E27FC236}">
                  <a16:creationId xmlns:a16="http://schemas.microsoft.com/office/drawing/2014/main" id="{00000000-0008-0000-2000-00000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NL" sz="800" b="0" i="0" u="none" strike="noStrike" baseline="0">
                  <a:solidFill>
                    <a:srgbClr val="000000"/>
                  </a:solidFill>
                  <a:latin typeface="Segoe UI"/>
                  <a:cs typeface="Segoe UI"/>
                </a:rPr>
                <a:t>Huidige invoer gebruiken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xdr:row>
          <xdr:rowOff>0</xdr:rowOff>
        </xdr:from>
        <xdr:to>
          <xdr:col>2</xdr:col>
          <xdr:colOff>0</xdr:colOff>
          <xdr:row>7</xdr:row>
          <xdr:rowOff>0</xdr:rowOff>
        </xdr:to>
        <xdr:sp macro="" textlink="">
          <xdr:nvSpPr>
            <xdr:cNvPr id="32771" name="Option Button 3" hidden="1">
              <a:extLst>
                <a:ext uri="{63B3BB69-23CF-44E3-9099-C40C66FF867C}">
                  <a14:compatExt spid="_x0000_s32771"/>
                </a:ext>
                <a:ext uri="{FF2B5EF4-FFF2-40B4-BE49-F238E27FC236}">
                  <a16:creationId xmlns:a16="http://schemas.microsoft.com/office/drawing/2014/main" id="{00000000-0008-0000-2000-00000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NL" sz="800" b="0" i="0" u="none" strike="noStrike" baseline="0">
                  <a:solidFill>
                    <a:srgbClr val="000000"/>
                  </a:solidFill>
                  <a:latin typeface="Segoe UI"/>
                  <a:cs typeface="Segoe UI"/>
                </a:rPr>
                <a:t>Eigen invoer gebruiken</a:t>
              </a:r>
            </a:p>
          </xdr:txBody>
        </xdr:sp>
        <xdr:clientData/>
      </xdr:twoCellAnchor>
    </mc:Choice>
    <mc:Fallback/>
  </mc:AlternateContent>
  <xdr:twoCellAnchor>
    <xdr:from>
      <xdr:col>5</xdr:col>
      <xdr:colOff>18144</xdr:colOff>
      <xdr:row>10</xdr:row>
      <xdr:rowOff>9071</xdr:rowOff>
    </xdr:from>
    <xdr:to>
      <xdr:col>5</xdr:col>
      <xdr:colOff>187087</xdr:colOff>
      <xdr:row>10</xdr:row>
      <xdr:rowOff>178599</xdr:rowOff>
    </xdr:to>
    <xdr:pic>
      <xdr:nvPicPr>
        <xdr:cNvPr id="6" name="Afbeelding 5">
          <a:extLst>
            <a:ext uri="{FF2B5EF4-FFF2-40B4-BE49-F238E27FC236}">
              <a16:creationId xmlns:a16="http://schemas.microsoft.com/office/drawing/2014/main" id="{00000000-0008-0000-2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9994" y="1126671"/>
          <a:ext cx="168943" cy="1695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18144</xdr:colOff>
      <xdr:row>9</xdr:row>
      <xdr:rowOff>9072</xdr:rowOff>
    </xdr:from>
    <xdr:to>
      <xdr:col>5</xdr:col>
      <xdr:colOff>187087</xdr:colOff>
      <xdr:row>9</xdr:row>
      <xdr:rowOff>178600</xdr:rowOff>
    </xdr:to>
    <xdr:pic>
      <xdr:nvPicPr>
        <xdr:cNvPr id="7" name="Afbeelding 6">
          <a:extLst>
            <a:ext uri="{FF2B5EF4-FFF2-40B4-BE49-F238E27FC236}">
              <a16:creationId xmlns:a16="http://schemas.microsoft.com/office/drawing/2014/main" id="{00000000-0008-0000-20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9994" y="942522"/>
          <a:ext cx="168943" cy="1695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18143</xdr:colOff>
      <xdr:row>11</xdr:row>
      <xdr:rowOff>18143</xdr:rowOff>
    </xdr:from>
    <xdr:to>
      <xdr:col>5</xdr:col>
      <xdr:colOff>187086</xdr:colOff>
      <xdr:row>12</xdr:row>
      <xdr:rowOff>6243</xdr:rowOff>
    </xdr:to>
    <xdr:pic>
      <xdr:nvPicPr>
        <xdr:cNvPr id="8" name="Afbeelding 7">
          <a:extLst>
            <a:ext uri="{FF2B5EF4-FFF2-40B4-BE49-F238E27FC236}">
              <a16:creationId xmlns:a16="http://schemas.microsoft.com/office/drawing/2014/main" id="{00000000-0008-0000-20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9993" y="1319893"/>
          <a:ext cx="168943" cy="172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18144</xdr:colOff>
      <xdr:row>10</xdr:row>
      <xdr:rowOff>9071</xdr:rowOff>
    </xdr:from>
    <xdr:to>
      <xdr:col>5</xdr:col>
      <xdr:colOff>187087</xdr:colOff>
      <xdr:row>10</xdr:row>
      <xdr:rowOff>178599</xdr:rowOff>
    </xdr:to>
    <xdr:pic>
      <xdr:nvPicPr>
        <xdr:cNvPr id="9" name="Afbeelding 8">
          <a:extLst>
            <a:ext uri="{FF2B5EF4-FFF2-40B4-BE49-F238E27FC236}">
              <a16:creationId xmlns:a16="http://schemas.microsoft.com/office/drawing/2014/main" id="{00000000-0008-0000-20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9994" y="1113971"/>
          <a:ext cx="168943" cy="169528"/>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xdr:from>
      <xdr:col>5</xdr:col>
      <xdr:colOff>18144</xdr:colOff>
      <xdr:row>9</xdr:row>
      <xdr:rowOff>9072</xdr:rowOff>
    </xdr:from>
    <xdr:to>
      <xdr:col>5</xdr:col>
      <xdr:colOff>187087</xdr:colOff>
      <xdr:row>9</xdr:row>
      <xdr:rowOff>178600</xdr:rowOff>
    </xdr:to>
    <xdr:pic>
      <xdr:nvPicPr>
        <xdr:cNvPr id="10" name="Afbeelding 9">
          <a:extLst>
            <a:ext uri="{FF2B5EF4-FFF2-40B4-BE49-F238E27FC236}">
              <a16:creationId xmlns:a16="http://schemas.microsoft.com/office/drawing/2014/main" id="{00000000-0008-0000-20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9994" y="929822"/>
          <a:ext cx="168943" cy="169528"/>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xdr:from>
      <xdr:col>5</xdr:col>
      <xdr:colOff>18143</xdr:colOff>
      <xdr:row>11</xdr:row>
      <xdr:rowOff>18143</xdr:rowOff>
    </xdr:from>
    <xdr:to>
      <xdr:col>5</xdr:col>
      <xdr:colOff>187086</xdr:colOff>
      <xdr:row>12</xdr:row>
      <xdr:rowOff>6243</xdr:rowOff>
    </xdr:to>
    <xdr:pic>
      <xdr:nvPicPr>
        <xdr:cNvPr id="11" name="Afbeelding 10">
          <a:extLst>
            <a:ext uri="{FF2B5EF4-FFF2-40B4-BE49-F238E27FC236}">
              <a16:creationId xmlns:a16="http://schemas.microsoft.com/office/drawing/2014/main" id="{00000000-0008-0000-20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9993" y="1307193"/>
          <a:ext cx="168943" cy="17225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xdr:from>
      <xdr:col>1</xdr:col>
      <xdr:colOff>47628</xdr:colOff>
      <xdr:row>1</xdr:row>
      <xdr:rowOff>55562</xdr:rowOff>
    </xdr:from>
    <xdr:to>
      <xdr:col>1</xdr:col>
      <xdr:colOff>515628</xdr:colOff>
      <xdr:row>2</xdr:row>
      <xdr:rowOff>125000</xdr:rowOff>
    </xdr:to>
    <xdr:sp macro="" textlink="">
      <xdr:nvSpPr>
        <xdr:cNvPr id="16" name="Pijl: rechts 24">
          <a:hlinkClick xmlns:r="http://schemas.openxmlformats.org/officeDocument/2006/relationships" r:id="rId2"/>
          <a:extLst>
            <a:ext uri="{FF2B5EF4-FFF2-40B4-BE49-F238E27FC236}">
              <a16:creationId xmlns:a16="http://schemas.microsoft.com/office/drawing/2014/main" id="{00000000-0008-0000-2000-000010000000}"/>
            </a:ext>
          </a:extLst>
        </xdr:cNvPr>
        <xdr:cNvSpPr>
          <a:spLocks/>
        </xdr:cNvSpPr>
      </xdr:nvSpPr>
      <xdr:spPr>
        <a:xfrm flipH="1">
          <a:off x="238128" y="239712"/>
          <a:ext cx="468000" cy="253588"/>
        </a:xfrm>
        <a:prstGeom prst="rightArrow">
          <a:avLst/>
        </a:prstGeom>
      </xdr:spPr>
      <xdr:style>
        <a:lnRef idx="0">
          <a:schemeClr val="dk1"/>
        </a:lnRef>
        <a:fillRef idx="3">
          <a:schemeClr val="dk1"/>
        </a:fillRef>
        <a:effectRef idx="3">
          <a:schemeClr val="dk1"/>
        </a:effectRef>
        <a:fontRef idx="minor">
          <a:schemeClr val="lt1"/>
        </a:fontRef>
      </xdr:style>
      <xdr:txBody>
        <a:bodyPr vertOverflow="clip" horzOverflow="clip" rtlCol="0" anchor="t"/>
        <a:lstStyle/>
        <a:p>
          <a:pPr algn="l"/>
          <a:endParaRPr lang="nl-NL" sz="1100"/>
        </a:p>
      </xdr:txBody>
    </xdr:sp>
    <xdr:clientData/>
  </xdr:twoCellAnchor>
</xdr:wsDr>
</file>

<file path=xl/drawings/drawing3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4</xdr:row>
          <xdr:rowOff>0</xdr:rowOff>
        </xdr:from>
        <xdr:to>
          <xdr:col>2</xdr:col>
          <xdr:colOff>0</xdr:colOff>
          <xdr:row>5</xdr:row>
          <xdr:rowOff>7620</xdr:rowOff>
        </xdr:to>
        <xdr:sp macro="" textlink="">
          <xdr:nvSpPr>
            <xdr:cNvPr id="33793" name="Option Button 1" hidden="1">
              <a:extLst>
                <a:ext uri="{63B3BB69-23CF-44E3-9099-C40C66FF867C}">
                  <a14:compatExt spid="_x0000_s33793"/>
                </a:ext>
                <a:ext uri="{FF2B5EF4-FFF2-40B4-BE49-F238E27FC236}">
                  <a16:creationId xmlns:a16="http://schemas.microsoft.com/office/drawing/2014/main" id="{00000000-0008-0000-2100-00000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NL" sz="800" b="0" i="0" u="none" strike="noStrike" baseline="0">
                  <a:solidFill>
                    <a:srgbClr val="000000"/>
                  </a:solidFill>
                  <a:latin typeface="Segoe UI"/>
                  <a:cs typeface="Segoe UI"/>
                </a:rPr>
                <a:t>Gemiddelde gebruiken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0</xdr:rowOff>
        </xdr:to>
        <xdr:sp macro="" textlink="">
          <xdr:nvSpPr>
            <xdr:cNvPr id="33794" name="Option Button 2" hidden="1">
              <a:extLst>
                <a:ext uri="{63B3BB69-23CF-44E3-9099-C40C66FF867C}">
                  <a14:compatExt spid="_x0000_s33794"/>
                </a:ext>
                <a:ext uri="{FF2B5EF4-FFF2-40B4-BE49-F238E27FC236}">
                  <a16:creationId xmlns:a16="http://schemas.microsoft.com/office/drawing/2014/main" id="{00000000-0008-0000-2100-00000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NL" sz="800" b="0" i="0" u="none" strike="noStrike" baseline="0">
                  <a:solidFill>
                    <a:srgbClr val="000000"/>
                  </a:solidFill>
                  <a:latin typeface="Segoe UI"/>
                  <a:cs typeface="Segoe UI"/>
                </a:rPr>
                <a:t>Huidige invoer gebruiken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xdr:row>
          <xdr:rowOff>0</xdr:rowOff>
        </xdr:from>
        <xdr:to>
          <xdr:col>2</xdr:col>
          <xdr:colOff>0</xdr:colOff>
          <xdr:row>7</xdr:row>
          <xdr:rowOff>0</xdr:rowOff>
        </xdr:to>
        <xdr:sp macro="" textlink="">
          <xdr:nvSpPr>
            <xdr:cNvPr id="33795" name="Option Button 3" hidden="1">
              <a:extLst>
                <a:ext uri="{63B3BB69-23CF-44E3-9099-C40C66FF867C}">
                  <a14:compatExt spid="_x0000_s33795"/>
                </a:ext>
                <a:ext uri="{FF2B5EF4-FFF2-40B4-BE49-F238E27FC236}">
                  <a16:creationId xmlns:a16="http://schemas.microsoft.com/office/drawing/2014/main" id="{00000000-0008-0000-2100-00000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NL" sz="800" b="0" i="0" u="none" strike="noStrike" baseline="0">
                  <a:solidFill>
                    <a:srgbClr val="000000"/>
                  </a:solidFill>
                  <a:latin typeface="Segoe UI"/>
                  <a:cs typeface="Segoe UI"/>
                </a:rPr>
                <a:t>Eigen invoer gebruiken</a:t>
              </a:r>
            </a:p>
          </xdr:txBody>
        </xdr:sp>
        <xdr:clientData/>
      </xdr:twoCellAnchor>
    </mc:Choice>
    <mc:Fallback/>
  </mc:AlternateContent>
  <xdr:twoCellAnchor>
    <xdr:from>
      <xdr:col>5</xdr:col>
      <xdr:colOff>18144</xdr:colOff>
      <xdr:row>10</xdr:row>
      <xdr:rowOff>9071</xdr:rowOff>
    </xdr:from>
    <xdr:to>
      <xdr:col>5</xdr:col>
      <xdr:colOff>187087</xdr:colOff>
      <xdr:row>10</xdr:row>
      <xdr:rowOff>178599</xdr:rowOff>
    </xdr:to>
    <xdr:pic>
      <xdr:nvPicPr>
        <xdr:cNvPr id="6" name="Afbeelding 5">
          <a:extLst>
            <a:ext uri="{FF2B5EF4-FFF2-40B4-BE49-F238E27FC236}">
              <a16:creationId xmlns:a16="http://schemas.microsoft.com/office/drawing/2014/main" id="{00000000-0008-0000-21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9994" y="1126671"/>
          <a:ext cx="168943" cy="1695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18144</xdr:colOff>
      <xdr:row>9</xdr:row>
      <xdr:rowOff>9072</xdr:rowOff>
    </xdr:from>
    <xdr:to>
      <xdr:col>5</xdr:col>
      <xdr:colOff>187087</xdr:colOff>
      <xdr:row>9</xdr:row>
      <xdr:rowOff>178600</xdr:rowOff>
    </xdr:to>
    <xdr:pic>
      <xdr:nvPicPr>
        <xdr:cNvPr id="7" name="Afbeelding 6">
          <a:extLst>
            <a:ext uri="{FF2B5EF4-FFF2-40B4-BE49-F238E27FC236}">
              <a16:creationId xmlns:a16="http://schemas.microsoft.com/office/drawing/2014/main" id="{00000000-0008-0000-21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9994" y="942522"/>
          <a:ext cx="168943" cy="1695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18143</xdr:colOff>
      <xdr:row>11</xdr:row>
      <xdr:rowOff>18143</xdr:rowOff>
    </xdr:from>
    <xdr:to>
      <xdr:col>5</xdr:col>
      <xdr:colOff>187086</xdr:colOff>
      <xdr:row>12</xdr:row>
      <xdr:rowOff>6243</xdr:rowOff>
    </xdr:to>
    <xdr:pic>
      <xdr:nvPicPr>
        <xdr:cNvPr id="8" name="Afbeelding 7">
          <a:extLst>
            <a:ext uri="{FF2B5EF4-FFF2-40B4-BE49-F238E27FC236}">
              <a16:creationId xmlns:a16="http://schemas.microsoft.com/office/drawing/2014/main" id="{00000000-0008-0000-21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9993" y="1319893"/>
          <a:ext cx="168943" cy="172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18144</xdr:colOff>
      <xdr:row>10</xdr:row>
      <xdr:rowOff>9071</xdr:rowOff>
    </xdr:from>
    <xdr:to>
      <xdr:col>5</xdr:col>
      <xdr:colOff>187087</xdr:colOff>
      <xdr:row>10</xdr:row>
      <xdr:rowOff>178599</xdr:rowOff>
    </xdr:to>
    <xdr:pic>
      <xdr:nvPicPr>
        <xdr:cNvPr id="9" name="Afbeelding 8">
          <a:extLst>
            <a:ext uri="{FF2B5EF4-FFF2-40B4-BE49-F238E27FC236}">
              <a16:creationId xmlns:a16="http://schemas.microsoft.com/office/drawing/2014/main" id="{00000000-0008-0000-21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9994" y="1113971"/>
          <a:ext cx="168943" cy="169528"/>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xdr:from>
      <xdr:col>5</xdr:col>
      <xdr:colOff>18144</xdr:colOff>
      <xdr:row>9</xdr:row>
      <xdr:rowOff>9072</xdr:rowOff>
    </xdr:from>
    <xdr:to>
      <xdr:col>5</xdr:col>
      <xdr:colOff>187087</xdr:colOff>
      <xdr:row>9</xdr:row>
      <xdr:rowOff>178600</xdr:rowOff>
    </xdr:to>
    <xdr:pic>
      <xdr:nvPicPr>
        <xdr:cNvPr id="10" name="Afbeelding 9">
          <a:extLst>
            <a:ext uri="{FF2B5EF4-FFF2-40B4-BE49-F238E27FC236}">
              <a16:creationId xmlns:a16="http://schemas.microsoft.com/office/drawing/2014/main" id="{00000000-0008-0000-21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9994" y="929822"/>
          <a:ext cx="168943" cy="169528"/>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xdr:from>
      <xdr:col>5</xdr:col>
      <xdr:colOff>18143</xdr:colOff>
      <xdr:row>11</xdr:row>
      <xdr:rowOff>18143</xdr:rowOff>
    </xdr:from>
    <xdr:to>
      <xdr:col>5</xdr:col>
      <xdr:colOff>187086</xdr:colOff>
      <xdr:row>12</xdr:row>
      <xdr:rowOff>6243</xdr:rowOff>
    </xdr:to>
    <xdr:pic>
      <xdr:nvPicPr>
        <xdr:cNvPr id="11" name="Afbeelding 10">
          <a:extLst>
            <a:ext uri="{FF2B5EF4-FFF2-40B4-BE49-F238E27FC236}">
              <a16:creationId xmlns:a16="http://schemas.microsoft.com/office/drawing/2014/main" id="{00000000-0008-0000-21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9993" y="1307193"/>
          <a:ext cx="168943" cy="17225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xdr:from>
      <xdr:col>1</xdr:col>
      <xdr:colOff>47628</xdr:colOff>
      <xdr:row>1</xdr:row>
      <xdr:rowOff>55562</xdr:rowOff>
    </xdr:from>
    <xdr:to>
      <xdr:col>1</xdr:col>
      <xdr:colOff>515628</xdr:colOff>
      <xdr:row>2</xdr:row>
      <xdr:rowOff>125000</xdr:rowOff>
    </xdr:to>
    <xdr:sp macro="" textlink="">
      <xdr:nvSpPr>
        <xdr:cNvPr id="14" name="Pijl: rechts 24">
          <a:hlinkClick xmlns:r="http://schemas.openxmlformats.org/officeDocument/2006/relationships" r:id="rId2"/>
          <a:extLst>
            <a:ext uri="{FF2B5EF4-FFF2-40B4-BE49-F238E27FC236}">
              <a16:creationId xmlns:a16="http://schemas.microsoft.com/office/drawing/2014/main" id="{00000000-0008-0000-2100-00000E000000}"/>
            </a:ext>
          </a:extLst>
        </xdr:cNvPr>
        <xdr:cNvSpPr>
          <a:spLocks/>
        </xdr:cNvSpPr>
      </xdr:nvSpPr>
      <xdr:spPr>
        <a:xfrm flipH="1">
          <a:off x="238128" y="239712"/>
          <a:ext cx="468000" cy="253588"/>
        </a:xfrm>
        <a:prstGeom prst="rightArrow">
          <a:avLst/>
        </a:prstGeom>
      </xdr:spPr>
      <xdr:style>
        <a:lnRef idx="0">
          <a:schemeClr val="dk1"/>
        </a:lnRef>
        <a:fillRef idx="3">
          <a:schemeClr val="dk1"/>
        </a:fillRef>
        <a:effectRef idx="3">
          <a:schemeClr val="dk1"/>
        </a:effectRef>
        <a:fontRef idx="minor">
          <a:schemeClr val="lt1"/>
        </a:fontRef>
      </xdr:style>
      <xdr:txBody>
        <a:bodyPr vertOverflow="clip" horzOverflow="clip" rtlCol="0" anchor="t"/>
        <a:lstStyle/>
        <a:p>
          <a:pPr algn="l"/>
          <a:endParaRPr lang="nl-NL" sz="1100"/>
        </a:p>
      </xdr:txBody>
    </xdr:sp>
    <xdr:clientData/>
  </xdr:twoCellAnchor>
</xdr:wsDr>
</file>

<file path=xl/drawings/drawing3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4</xdr:row>
          <xdr:rowOff>0</xdr:rowOff>
        </xdr:from>
        <xdr:to>
          <xdr:col>2</xdr:col>
          <xdr:colOff>0</xdr:colOff>
          <xdr:row>5</xdr:row>
          <xdr:rowOff>7620</xdr:rowOff>
        </xdr:to>
        <xdr:sp macro="" textlink="">
          <xdr:nvSpPr>
            <xdr:cNvPr id="34817" name="Option Button 1" hidden="1">
              <a:extLst>
                <a:ext uri="{63B3BB69-23CF-44E3-9099-C40C66FF867C}">
                  <a14:compatExt spid="_x0000_s34817"/>
                </a:ext>
                <a:ext uri="{FF2B5EF4-FFF2-40B4-BE49-F238E27FC236}">
                  <a16:creationId xmlns:a16="http://schemas.microsoft.com/office/drawing/2014/main" id="{00000000-0008-0000-2200-00000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NL" sz="800" b="0" i="0" u="none" strike="noStrike" baseline="0">
                  <a:solidFill>
                    <a:srgbClr val="000000"/>
                  </a:solidFill>
                  <a:latin typeface="Segoe UI"/>
                  <a:cs typeface="Segoe UI"/>
                </a:rPr>
                <a:t>Gemiddelde gebruiken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0</xdr:rowOff>
        </xdr:to>
        <xdr:sp macro="" textlink="">
          <xdr:nvSpPr>
            <xdr:cNvPr id="34818" name="Option Button 2" hidden="1">
              <a:extLst>
                <a:ext uri="{63B3BB69-23CF-44E3-9099-C40C66FF867C}">
                  <a14:compatExt spid="_x0000_s34818"/>
                </a:ext>
                <a:ext uri="{FF2B5EF4-FFF2-40B4-BE49-F238E27FC236}">
                  <a16:creationId xmlns:a16="http://schemas.microsoft.com/office/drawing/2014/main" id="{00000000-0008-0000-2200-00000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NL" sz="800" b="0" i="0" u="none" strike="noStrike" baseline="0">
                  <a:solidFill>
                    <a:srgbClr val="000000"/>
                  </a:solidFill>
                  <a:latin typeface="Segoe UI"/>
                  <a:cs typeface="Segoe UI"/>
                </a:rPr>
                <a:t>Huidige invoer gebruiken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xdr:row>
          <xdr:rowOff>0</xdr:rowOff>
        </xdr:from>
        <xdr:to>
          <xdr:col>2</xdr:col>
          <xdr:colOff>0</xdr:colOff>
          <xdr:row>7</xdr:row>
          <xdr:rowOff>0</xdr:rowOff>
        </xdr:to>
        <xdr:sp macro="" textlink="">
          <xdr:nvSpPr>
            <xdr:cNvPr id="34819" name="Option Button 3" hidden="1">
              <a:extLst>
                <a:ext uri="{63B3BB69-23CF-44E3-9099-C40C66FF867C}">
                  <a14:compatExt spid="_x0000_s34819"/>
                </a:ext>
                <a:ext uri="{FF2B5EF4-FFF2-40B4-BE49-F238E27FC236}">
                  <a16:creationId xmlns:a16="http://schemas.microsoft.com/office/drawing/2014/main" id="{00000000-0008-0000-2200-00000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NL" sz="800" b="0" i="0" u="none" strike="noStrike" baseline="0">
                  <a:solidFill>
                    <a:srgbClr val="000000"/>
                  </a:solidFill>
                  <a:latin typeface="Segoe UI"/>
                  <a:cs typeface="Segoe UI"/>
                </a:rPr>
                <a:t>Eigen invoer gebruiken</a:t>
              </a:r>
            </a:p>
          </xdr:txBody>
        </xdr:sp>
        <xdr:clientData/>
      </xdr:twoCellAnchor>
    </mc:Choice>
    <mc:Fallback/>
  </mc:AlternateContent>
  <xdr:twoCellAnchor>
    <xdr:from>
      <xdr:col>5</xdr:col>
      <xdr:colOff>18144</xdr:colOff>
      <xdr:row>10</xdr:row>
      <xdr:rowOff>9071</xdr:rowOff>
    </xdr:from>
    <xdr:to>
      <xdr:col>5</xdr:col>
      <xdr:colOff>187087</xdr:colOff>
      <xdr:row>10</xdr:row>
      <xdr:rowOff>178599</xdr:rowOff>
    </xdr:to>
    <xdr:pic>
      <xdr:nvPicPr>
        <xdr:cNvPr id="6" name="Afbeelding 5">
          <a:extLst>
            <a:ext uri="{FF2B5EF4-FFF2-40B4-BE49-F238E27FC236}">
              <a16:creationId xmlns:a16="http://schemas.microsoft.com/office/drawing/2014/main" id="{00000000-0008-0000-22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9994" y="1126671"/>
          <a:ext cx="168943" cy="1695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18144</xdr:colOff>
      <xdr:row>9</xdr:row>
      <xdr:rowOff>9072</xdr:rowOff>
    </xdr:from>
    <xdr:to>
      <xdr:col>5</xdr:col>
      <xdr:colOff>187087</xdr:colOff>
      <xdr:row>9</xdr:row>
      <xdr:rowOff>178600</xdr:rowOff>
    </xdr:to>
    <xdr:pic>
      <xdr:nvPicPr>
        <xdr:cNvPr id="7" name="Afbeelding 6">
          <a:extLst>
            <a:ext uri="{FF2B5EF4-FFF2-40B4-BE49-F238E27FC236}">
              <a16:creationId xmlns:a16="http://schemas.microsoft.com/office/drawing/2014/main" id="{00000000-0008-0000-2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9994" y="942522"/>
          <a:ext cx="168943" cy="1695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18143</xdr:colOff>
      <xdr:row>11</xdr:row>
      <xdr:rowOff>18143</xdr:rowOff>
    </xdr:from>
    <xdr:to>
      <xdr:col>5</xdr:col>
      <xdr:colOff>187086</xdr:colOff>
      <xdr:row>12</xdr:row>
      <xdr:rowOff>6243</xdr:rowOff>
    </xdr:to>
    <xdr:pic>
      <xdr:nvPicPr>
        <xdr:cNvPr id="8" name="Afbeelding 7">
          <a:extLst>
            <a:ext uri="{FF2B5EF4-FFF2-40B4-BE49-F238E27FC236}">
              <a16:creationId xmlns:a16="http://schemas.microsoft.com/office/drawing/2014/main" id="{00000000-0008-0000-22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9993" y="1319893"/>
          <a:ext cx="168943" cy="172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18144</xdr:colOff>
      <xdr:row>10</xdr:row>
      <xdr:rowOff>9071</xdr:rowOff>
    </xdr:from>
    <xdr:to>
      <xdr:col>5</xdr:col>
      <xdr:colOff>187087</xdr:colOff>
      <xdr:row>10</xdr:row>
      <xdr:rowOff>178599</xdr:rowOff>
    </xdr:to>
    <xdr:pic>
      <xdr:nvPicPr>
        <xdr:cNvPr id="9" name="Afbeelding 8">
          <a:extLst>
            <a:ext uri="{FF2B5EF4-FFF2-40B4-BE49-F238E27FC236}">
              <a16:creationId xmlns:a16="http://schemas.microsoft.com/office/drawing/2014/main" id="{00000000-0008-0000-22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9994" y="1113971"/>
          <a:ext cx="168943" cy="169528"/>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xdr:from>
      <xdr:col>5</xdr:col>
      <xdr:colOff>18144</xdr:colOff>
      <xdr:row>9</xdr:row>
      <xdr:rowOff>9072</xdr:rowOff>
    </xdr:from>
    <xdr:to>
      <xdr:col>5</xdr:col>
      <xdr:colOff>187087</xdr:colOff>
      <xdr:row>9</xdr:row>
      <xdr:rowOff>178600</xdr:rowOff>
    </xdr:to>
    <xdr:pic>
      <xdr:nvPicPr>
        <xdr:cNvPr id="10" name="Afbeelding 9">
          <a:extLst>
            <a:ext uri="{FF2B5EF4-FFF2-40B4-BE49-F238E27FC236}">
              <a16:creationId xmlns:a16="http://schemas.microsoft.com/office/drawing/2014/main" id="{00000000-0008-0000-22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9994" y="929822"/>
          <a:ext cx="168943" cy="169528"/>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xdr:from>
      <xdr:col>5</xdr:col>
      <xdr:colOff>18143</xdr:colOff>
      <xdr:row>11</xdr:row>
      <xdr:rowOff>18143</xdr:rowOff>
    </xdr:from>
    <xdr:to>
      <xdr:col>5</xdr:col>
      <xdr:colOff>187086</xdr:colOff>
      <xdr:row>12</xdr:row>
      <xdr:rowOff>6243</xdr:rowOff>
    </xdr:to>
    <xdr:pic>
      <xdr:nvPicPr>
        <xdr:cNvPr id="11" name="Afbeelding 10">
          <a:extLst>
            <a:ext uri="{FF2B5EF4-FFF2-40B4-BE49-F238E27FC236}">
              <a16:creationId xmlns:a16="http://schemas.microsoft.com/office/drawing/2014/main" id="{00000000-0008-0000-22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9993" y="1307193"/>
          <a:ext cx="168943" cy="17225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xdr:from>
      <xdr:col>1</xdr:col>
      <xdr:colOff>47628</xdr:colOff>
      <xdr:row>1</xdr:row>
      <xdr:rowOff>55562</xdr:rowOff>
    </xdr:from>
    <xdr:to>
      <xdr:col>1</xdr:col>
      <xdr:colOff>515628</xdr:colOff>
      <xdr:row>2</xdr:row>
      <xdr:rowOff>125000</xdr:rowOff>
    </xdr:to>
    <xdr:sp macro="" textlink="">
      <xdr:nvSpPr>
        <xdr:cNvPr id="14" name="Pijl: rechts 24">
          <a:hlinkClick xmlns:r="http://schemas.openxmlformats.org/officeDocument/2006/relationships" r:id="rId2"/>
          <a:extLst>
            <a:ext uri="{FF2B5EF4-FFF2-40B4-BE49-F238E27FC236}">
              <a16:creationId xmlns:a16="http://schemas.microsoft.com/office/drawing/2014/main" id="{00000000-0008-0000-2200-00000E000000}"/>
            </a:ext>
          </a:extLst>
        </xdr:cNvPr>
        <xdr:cNvSpPr>
          <a:spLocks/>
        </xdr:cNvSpPr>
      </xdr:nvSpPr>
      <xdr:spPr>
        <a:xfrm flipH="1">
          <a:off x="238128" y="239712"/>
          <a:ext cx="468000" cy="253588"/>
        </a:xfrm>
        <a:prstGeom prst="rightArrow">
          <a:avLst/>
        </a:prstGeom>
      </xdr:spPr>
      <xdr:style>
        <a:lnRef idx="0">
          <a:schemeClr val="dk1"/>
        </a:lnRef>
        <a:fillRef idx="3">
          <a:schemeClr val="dk1"/>
        </a:fillRef>
        <a:effectRef idx="3">
          <a:schemeClr val="dk1"/>
        </a:effectRef>
        <a:fontRef idx="minor">
          <a:schemeClr val="lt1"/>
        </a:fontRef>
      </xdr:style>
      <xdr:txBody>
        <a:bodyPr vertOverflow="clip" horzOverflow="clip" rtlCol="0" anchor="t"/>
        <a:lstStyle/>
        <a:p>
          <a:pPr algn="l"/>
          <a:endParaRPr lang="nl-NL" sz="1100"/>
        </a:p>
      </xdr:txBody>
    </xdr:sp>
    <xdr:clientData/>
  </xdr:twoCellAnchor>
</xdr:wsDr>
</file>

<file path=xl/drawings/drawing3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4</xdr:row>
          <xdr:rowOff>0</xdr:rowOff>
        </xdr:from>
        <xdr:to>
          <xdr:col>2</xdr:col>
          <xdr:colOff>0</xdr:colOff>
          <xdr:row>5</xdr:row>
          <xdr:rowOff>0</xdr:rowOff>
        </xdr:to>
        <xdr:sp macro="" textlink="">
          <xdr:nvSpPr>
            <xdr:cNvPr id="35841" name="Option Button 1" hidden="1">
              <a:extLst>
                <a:ext uri="{63B3BB69-23CF-44E3-9099-C40C66FF867C}">
                  <a14:compatExt spid="_x0000_s35841"/>
                </a:ext>
                <a:ext uri="{FF2B5EF4-FFF2-40B4-BE49-F238E27FC236}">
                  <a16:creationId xmlns:a16="http://schemas.microsoft.com/office/drawing/2014/main" id="{00000000-0008-0000-2300-00000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NL" sz="800" b="0" i="0" u="none" strike="noStrike" baseline="0">
                  <a:solidFill>
                    <a:srgbClr val="000000"/>
                  </a:solidFill>
                  <a:latin typeface="Segoe UI"/>
                  <a:cs typeface="Segoe UI"/>
                </a:rPr>
                <a:t>Gemiddelde gebruiken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xdr:row>
          <xdr:rowOff>182880</xdr:rowOff>
        </xdr:from>
        <xdr:to>
          <xdr:col>2</xdr:col>
          <xdr:colOff>0</xdr:colOff>
          <xdr:row>6</xdr:row>
          <xdr:rowOff>7620</xdr:rowOff>
        </xdr:to>
        <xdr:sp macro="" textlink="">
          <xdr:nvSpPr>
            <xdr:cNvPr id="35842" name="Option Button 2" hidden="1">
              <a:extLst>
                <a:ext uri="{63B3BB69-23CF-44E3-9099-C40C66FF867C}">
                  <a14:compatExt spid="_x0000_s35842"/>
                </a:ext>
                <a:ext uri="{FF2B5EF4-FFF2-40B4-BE49-F238E27FC236}">
                  <a16:creationId xmlns:a16="http://schemas.microsoft.com/office/drawing/2014/main" id="{00000000-0008-0000-2300-00000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NL" sz="800" b="0" i="0" u="none" strike="noStrike" baseline="0">
                  <a:solidFill>
                    <a:srgbClr val="000000"/>
                  </a:solidFill>
                  <a:latin typeface="Segoe UI"/>
                  <a:cs typeface="Segoe UI"/>
                </a:rPr>
                <a:t>Huidige invoer gebruiken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xdr:row>
          <xdr:rowOff>182880</xdr:rowOff>
        </xdr:from>
        <xdr:to>
          <xdr:col>2</xdr:col>
          <xdr:colOff>0</xdr:colOff>
          <xdr:row>7</xdr:row>
          <xdr:rowOff>7620</xdr:rowOff>
        </xdr:to>
        <xdr:sp macro="" textlink="">
          <xdr:nvSpPr>
            <xdr:cNvPr id="35843" name="Option Button 3" hidden="1">
              <a:extLst>
                <a:ext uri="{63B3BB69-23CF-44E3-9099-C40C66FF867C}">
                  <a14:compatExt spid="_x0000_s35843"/>
                </a:ext>
                <a:ext uri="{FF2B5EF4-FFF2-40B4-BE49-F238E27FC236}">
                  <a16:creationId xmlns:a16="http://schemas.microsoft.com/office/drawing/2014/main" id="{00000000-0008-0000-2300-00000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NL" sz="800" b="0" i="0" u="none" strike="noStrike" baseline="0">
                  <a:solidFill>
                    <a:srgbClr val="000000"/>
                  </a:solidFill>
                  <a:latin typeface="Segoe UI"/>
                  <a:cs typeface="Segoe UI"/>
                </a:rPr>
                <a:t>Eigen invoer gebruiken</a:t>
              </a:r>
            </a:p>
          </xdr:txBody>
        </xdr:sp>
        <xdr:clientData/>
      </xdr:twoCellAnchor>
    </mc:Choice>
    <mc:Fallback/>
  </mc:AlternateContent>
  <xdr:twoCellAnchor>
    <xdr:from>
      <xdr:col>5</xdr:col>
      <xdr:colOff>18144</xdr:colOff>
      <xdr:row>10</xdr:row>
      <xdr:rowOff>9071</xdr:rowOff>
    </xdr:from>
    <xdr:to>
      <xdr:col>5</xdr:col>
      <xdr:colOff>187087</xdr:colOff>
      <xdr:row>10</xdr:row>
      <xdr:rowOff>178599</xdr:rowOff>
    </xdr:to>
    <xdr:pic>
      <xdr:nvPicPr>
        <xdr:cNvPr id="6" name="Afbeelding 5">
          <a:extLst>
            <a:ext uri="{FF2B5EF4-FFF2-40B4-BE49-F238E27FC236}">
              <a16:creationId xmlns:a16="http://schemas.microsoft.com/office/drawing/2014/main" id="{00000000-0008-0000-23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9994" y="1126671"/>
          <a:ext cx="168943" cy="1695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27215</xdr:colOff>
      <xdr:row>9</xdr:row>
      <xdr:rowOff>9072</xdr:rowOff>
    </xdr:from>
    <xdr:to>
      <xdr:col>5</xdr:col>
      <xdr:colOff>196158</xdr:colOff>
      <xdr:row>9</xdr:row>
      <xdr:rowOff>178600</xdr:rowOff>
    </xdr:to>
    <xdr:pic>
      <xdr:nvPicPr>
        <xdr:cNvPr id="7" name="Afbeelding 6">
          <a:extLst>
            <a:ext uri="{FF2B5EF4-FFF2-40B4-BE49-F238E27FC236}">
              <a16:creationId xmlns:a16="http://schemas.microsoft.com/office/drawing/2014/main" id="{00000000-0008-0000-23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60144" y="1097643"/>
          <a:ext cx="168943" cy="1695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18143</xdr:colOff>
      <xdr:row>11</xdr:row>
      <xdr:rowOff>18143</xdr:rowOff>
    </xdr:from>
    <xdr:to>
      <xdr:col>5</xdr:col>
      <xdr:colOff>187086</xdr:colOff>
      <xdr:row>12</xdr:row>
      <xdr:rowOff>6243</xdr:rowOff>
    </xdr:to>
    <xdr:pic>
      <xdr:nvPicPr>
        <xdr:cNvPr id="8" name="Afbeelding 7">
          <a:extLst>
            <a:ext uri="{FF2B5EF4-FFF2-40B4-BE49-F238E27FC236}">
              <a16:creationId xmlns:a16="http://schemas.microsoft.com/office/drawing/2014/main" id="{00000000-0008-0000-23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9993" y="1319893"/>
          <a:ext cx="168943" cy="172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18144</xdr:colOff>
      <xdr:row>10</xdr:row>
      <xdr:rowOff>9071</xdr:rowOff>
    </xdr:from>
    <xdr:to>
      <xdr:col>5</xdr:col>
      <xdr:colOff>187087</xdr:colOff>
      <xdr:row>10</xdr:row>
      <xdr:rowOff>178599</xdr:rowOff>
    </xdr:to>
    <xdr:pic>
      <xdr:nvPicPr>
        <xdr:cNvPr id="9" name="Afbeelding 8">
          <a:extLst>
            <a:ext uri="{FF2B5EF4-FFF2-40B4-BE49-F238E27FC236}">
              <a16:creationId xmlns:a16="http://schemas.microsoft.com/office/drawing/2014/main" id="{00000000-0008-0000-23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9994" y="1113971"/>
          <a:ext cx="168943" cy="169528"/>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xdr:from>
      <xdr:col>5</xdr:col>
      <xdr:colOff>18144</xdr:colOff>
      <xdr:row>9</xdr:row>
      <xdr:rowOff>9072</xdr:rowOff>
    </xdr:from>
    <xdr:to>
      <xdr:col>5</xdr:col>
      <xdr:colOff>187087</xdr:colOff>
      <xdr:row>9</xdr:row>
      <xdr:rowOff>178600</xdr:rowOff>
    </xdr:to>
    <xdr:pic>
      <xdr:nvPicPr>
        <xdr:cNvPr id="10" name="Afbeelding 9">
          <a:extLst>
            <a:ext uri="{FF2B5EF4-FFF2-40B4-BE49-F238E27FC236}">
              <a16:creationId xmlns:a16="http://schemas.microsoft.com/office/drawing/2014/main" id="{00000000-0008-0000-23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9994" y="929822"/>
          <a:ext cx="168943" cy="169528"/>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xdr:from>
      <xdr:col>5</xdr:col>
      <xdr:colOff>18143</xdr:colOff>
      <xdr:row>11</xdr:row>
      <xdr:rowOff>18143</xdr:rowOff>
    </xdr:from>
    <xdr:to>
      <xdr:col>5</xdr:col>
      <xdr:colOff>187086</xdr:colOff>
      <xdr:row>12</xdr:row>
      <xdr:rowOff>6243</xdr:rowOff>
    </xdr:to>
    <xdr:pic>
      <xdr:nvPicPr>
        <xdr:cNvPr id="11" name="Afbeelding 10">
          <a:extLst>
            <a:ext uri="{FF2B5EF4-FFF2-40B4-BE49-F238E27FC236}">
              <a16:creationId xmlns:a16="http://schemas.microsoft.com/office/drawing/2014/main" id="{00000000-0008-0000-23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9993" y="1307193"/>
          <a:ext cx="168943" cy="17225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xdr:from>
      <xdr:col>1</xdr:col>
      <xdr:colOff>47628</xdr:colOff>
      <xdr:row>1</xdr:row>
      <xdr:rowOff>55562</xdr:rowOff>
    </xdr:from>
    <xdr:to>
      <xdr:col>1</xdr:col>
      <xdr:colOff>515628</xdr:colOff>
      <xdr:row>2</xdr:row>
      <xdr:rowOff>125000</xdr:rowOff>
    </xdr:to>
    <xdr:sp macro="" textlink="">
      <xdr:nvSpPr>
        <xdr:cNvPr id="14" name="Pijl: rechts 24">
          <a:hlinkClick xmlns:r="http://schemas.openxmlformats.org/officeDocument/2006/relationships" r:id="rId2"/>
          <a:extLst>
            <a:ext uri="{FF2B5EF4-FFF2-40B4-BE49-F238E27FC236}">
              <a16:creationId xmlns:a16="http://schemas.microsoft.com/office/drawing/2014/main" id="{00000000-0008-0000-2300-00000E000000}"/>
            </a:ext>
          </a:extLst>
        </xdr:cNvPr>
        <xdr:cNvSpPr>
          <a:spLocks/>
        </xdr:cNvSpPr>
      </xdr:nvSpPr>
      <xdr:spPr>
        <a:xfrm flipH="1">
          <a:off x="238128" y="239712"/>
          <a:ext cx="468000" cy="253588"/>
        </a:xfrm>
        <a:prstGeom prst="rightArrow">
          <a:avLst/>
        </a:prstGeom>
      </xdr:spPr>
      <xdr:style>
        <a:lnRef idx="0">
          <a:schemeClr val="dk1"/>
        </a:lnRef>
        <a:fillRef idx="3">
          <a:schemeClr val="dk1"/>
        </a:fillRef>
        <a:effectRef idx="3">
          <a:schemeClr val="dk1"/>
        </a:effectRef>
        <a:fontRef idx="minor">
          <a:schemeClr val="lt1"/>
        </a:fontRef>
      </xdr:style>
      <xdr:txBody>
        <a:bodyPr vertOverflow="clip" horzOverflow="clip" rtlCol="0" anchor="t"/>
        <a:lstStyle/>
        <a:p>
          <a:pPr algn="l"/>
          <a:endParaRPr lang="nl-NL" sz="1100"/>
        </a:p>
      </xdr:txBody>
    </xdr:sp>
    <xdr:clientData/>
  </xdr:twoCellAnchor>
</xdr:wsDr>
</file>

<file path=xl/drawings/drawing3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4</xdr:row>
          <xdr:rowOff>0</xdr:rowOff>
        </xdr:from>
        <xdr:to>
          <xdr:col>2</xdr:col>
          <xdr:colOff>0</xdr:colOff>
          <xdr:row>5</xdr:row>
          <xdr:rowOff>0</xdr:rowOff>
        </xdr:to>
        <xdr:sp macro="" textlink="">
          <xdr:nvSpPr>
            <xdr:cNvPr id="36865" name="Option Button 1" hidden="1">
              <a:extLst>
                <a:ext uri="{63B3BB69-23CF-44E3-9099-C40C66FF867C}">
                  <a14:compatExt spid="_x0000_s36865"/>
                </a:ext>
                <a:ext uri="{FF2B5EF4-FFF2-40B4-BE49-F238E27FC236}">
                  <a16:creationId xmlns:a16="http://schemas.microsoft.com/office/drawing/2014/main" id="{00000000-0008-0000-2400-00000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NL" sz="800" b="0" i="0" u="none" strike="noStrike" baseline="0">
                  <a:solidFill>
                    <a:srgbClr val="000000"/>
                  </a:solidFill>
                  <a:latin typeface="Segoe UI"/>
                  <a:cs typeface="Segoe UI"/>
                </a:rPr>
                <a:t>Gemiddelde gebruiken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xdr:row>
          <xdr:rowOff>182880</xdr:rowOff>
        </xdr:from>
        <xdr:to>
          <xdr:col>2</xdr:col>
          <xdr:colOff>0</xdr:colOff>
          <xdr:row>6</xdr:row>
          <xdr:rowOff>7620</xdr:rowOff>
        </xdr:to>
        <xdr:sp macro="" textlink="">
          <xdr:nvSpPr>
            <xdr:cNvPr id="36866" name="Option Button 2" hidden="1">
              <a:extLst>
                <a:ext uri="{63B3BB69-23CF-44E3-9099-C40C66FF867C}">
                  <a14:compatExt spid="_x0000_s36866"/>
                </a:ext>
                <a:ext uri="{FF2B5EF4-FFF2-40B4-BE49-F238E27FC236}">
                  <a16:creationId xmlns:a16="http://schemas.microsoft.com/office/drawing/2014/main" id="{00000000-0008-0000-2400-00000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NL" sz="800" b="0" i="0" u="none" strike="noStrike" baseline="0">
                  <a:solidFill>
                    <a:srgbClr val="000000"/>
                  </a:solidFill>
                  <a:latin typeface="Segoe UI"/>
                  <a:cs typeface="Segoe UI"/>
                </a:rPr>
                <a:t>Huidige invoer gebruiken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xdr:row>
          <xdr:rowOff>182880</xdr:rowOff>
        </xdr:from>
        <xdr:to>
          <xdr:col>2</xdr:col>
          <xdr:colOff>0</xdr:colOff>
          <xdr:row>7</xdr:row>
          <xdr:rowOff>7620</xdr:rowOff>
        </xdr:to>
        <xdr:sp macro="" textlink="">
          <xdr:nvSpPr>
            <xdr:cNvPr id="36867" name="Option Button 3" hidden="1">
              <a:extLst>
                <a:ext uri="{63B3BB69-23CF-44E3-9099-C40C66FF867C}">
                  <a14:compatExt spid="_x0000_s36867"/>
                </a:ext>
                <a:ext uri="{FF2B5EF4-FFF2-40B4-BE49-F238E27FC236}">
                  <a16:creationId xmlns:a16="http://schemas.microsoft.com/office/drawing/2014/main" id="{00000000-0008-0000-2400-00000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NL" sz="800" b="0" i="0" u="none" strike="noStrike" baseline="0">
                  <a:solidFill>
                    <a:srgbClr val="000000"/>
                  </a:solidFill>
                  <a:latin typeface="Segoe UI"/>
                  <a:cs typeface="Segoe UI"/>
                </a:rPr>
                <a:t>Eigen invoer gebruiken</a:t>
              </a:r>
            </a:p>
          </xdr:txBody>
        </xdr:sp>
        <xdr:clientData/>
      </xdr:twoCellAnchor>
    </mc:Choice>
    <mc:Fallback/>
  </mc:AlternateContent>
  <xdr:twoCellAnchor>
    <xdr:from>
      <xdr:col>5</xdr:col>
      <xdr:colOff>18144</xdr:colOff>
      <xdr:row>10</xdr:row>
      <xdr:rowOff>9071</xdr:rowOff>
    </xdr:from>
    <xdr:to>
      <xdr:col>5</xdr:col>
      <xdr:colOff>187087</xdr:colOff>
      <xdr:row>10</xdr:row>
      <xdr:rowOff>178599</xdr:rowOff>
    </xdr:to>
    <xdr:pic>
      <xdr:nvPicPr>
        <xdr:cNvPr id="6" name="Afbeelding 5">
          <a:extLst>
            <a:ext uri="{FF2B5EF4-FFF2-40B4-BE49-F238E27FC236}">
              <a16:creationId xmlns:a16="http://schemas.microsoft.com/office/drawing/2014/main" id="{00000000-0008-0000-24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9994" y="1126671"/>
          <a:ext cx="168943" cy="1695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18144</xdr:colOff>
      <xdr:row>9</xdr:row>
      <xdr:rowOff>9072</xdr:rowOff>
    </xdr:from>
    <xdr:to>
      <xdr:col>5</xdr:col>
      <xdr:colOff>187087</xdr:colOff>
      <xdr:row>9</xdr:row>
      <xdr:rowOff>178600</xdr:rowOff>
    </xdr:to>
    <xdr:pic>
      <xdr:nvPicPr>
        <xdr:cNvPr id="7" name="Afbeelding 6">
          <a:extLst>
            <a:ext uri="{FF2B5EF4-FFF2-40B4-BE49-F238E27FC236}">
              <a16:creationId xmlns:a16="http://schemas.microsoft.com/office/drawing/2014/main" id="{00000000-0008-0000-24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9994" y="942522"/>
          <a:ext cx="168943" cy="1695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18143</xdr:colOff>
      <xdr:row>11</xdr:row>
      <xdr:rowOff>18143</xdr:rowOff>
    </xdr:from>
    <xdr:to>
      <xdr:col>5</xdr:col>
      <xdr:colOff>187086</xdr:colOff>
      <xdr:row>12</xdr:row>
      <xdr:rowOff>6243</xdr:rowOff>
    </xdr:to>
    <xdr:pic>
      <xdr:nvPicPr>
        <xdr:cNvPr id="8" name="Afbeelding 7">
          <a:extLst>
            <a:ext uri="{FF2B5EF4-FFF2-40B4-BE49-F238E27FC236}">
              <a16:creationId xmlns:a16="http://schemas.microsoft.com/office/drawing/2014/main" id="{00000000-0008-0000-24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9993" y="1319893"/>
          <a:ext cx="168943" cy="172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18144</xdr:colOff>
      <xdr:row>10</xdr:row>
      <xdr:rowOff>9071</xdr:rowOff>
    </xdr:from>
    <xdr:to>
      <xdr:col>5</xdr:col>
      <xdr:colOff>187087</xdr:colOff>
      <xdr:row>10</xdr:row>
      <xdr:rowOff>178599</xdr:rowOff>
    </xdr:to>
    <xdr:pic>
      <xdr:nvPicPr>
        <xdr:cNvPr id="9" name="Afbeelding 8">
          <a:extLst>
            <a:ext uri="{FF2B5EF4-FFF2-40B4-BE49-F238E27FC236}">
              <a16:creationId xmlns:a16="http://schemas.microsoft.com/office/drawing/2014/main" id="{00000000-0008-0000-24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9994" y="1113971"/>
          <a:ext cx="168943" cy="169528"/>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xdr:from>
      <xdr:col>5</xdr:col>
      <xdr:colOff>18144</xdr:colOff>
      <xdr:row>9</xdr:row>
      <xdr:rowOff>9072</xdr:rowOff>
    </xdr:from>
    <xdr:to>
      <xdr:col>5</xdr:col>
      <xdr:colOff>187087</xdr:colOff>
      <xdr:row>9</xdr:row>
      <xdr:rowOff>178600</xdr:rowOff>
    </xdr:to>
    <xdr:pic>
      <xdr:nvPicPr>
        <xdr:cNvPr id="10" name="Afbeelding 9">
          <a:extLst>
            <a:ext uri="{FF2B5EF4-FFF2-40B4-BE49-F238E27FC236}">
              <a16:creationId xmlns:a16="http://schemas.microsoft.com/office/drawing/2014/main" id="{00000000-0008-0000-24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9994" y="929822"/>
          <a:ext cx="168943" cy="169528"/>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xdr:from>
      <xdr:col>5</xdr:col>
      <xdr:colOff>18143</xdr:colOff>
      <xdr:row>11</xdr:row>
      <xdr:rowOff>18143</xdr:rowOff>
    </xdr:from>
    <xdr:to>
      <xdr:col>5</xdr:col>
      <xdr:colOff>187086</xdr:colOff>
      <xdr:row>12</xdr:row>
      <xdr:rowOff>6243</xdr:rowOff>
    </xdr:to>
    <xdr:pic>
      <xdr:nvPicPr>
        <xdr:cNvPr id="11" name="Afbeelding 10">
          <a:extLst>
            <a:ext uri="{FF2B5EF4-FFF2-40B4-BE49-F238E27FC236}">
              <a16:creationId xmlns:a16="http://schemas.microsoft.com/office/drawing/2014/main" id="{00000000-0008-0000-24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9993" y="1307193"/>
          <a:ext cx="168943" cy="17225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xdr:from>
      <xdr:col>1</xdr:col>
      <xdr:colOff>47628</xdr:colOff>
      <xdr:row>1</xdr:row>
      <xdr:rowOff>55562</xdr:rowOff>
    </xdr:from>
    <xdr:to>
      <xdr:col>1</xdr:col>
      <xdr:colOff>515628</xdr:colOff>
      <xdr:row>2</xdr:row>
      <xdr:rowOff>125000</xdr:rowOff>
    </xdr:to>
    <xdr:sp macro="" textlink="">
      <xdr:nvSpPr>
        <xdr:cNvPr id="14" name="Pijl: rechts 24">
          <a:hlinkClick xmlns:r="http://schemas.openxmlformats.org/officeDocument/2006/relationships" r:id="rId2"/>
          <a:extLst>
            <a:ext uri="{FF2B5EF4-FFF2-40B4-BE49-F238E27FC236}">
              <a16:creationId xmlns:a16="http://schemas.microsoft.com/office/drawing/2014/main" id="{00000000-0008-0000-2400-00000E000000}"/>
            </a:ext>
          </a:extLst>
        </xdr:cNvPr>
        <xdr:cNvSpPr>
          <a:spLocks/>
        </xdr:cNvSpPr>
      </xdr:nvSpPr>
      <xdr:spPr>
        <a:xfrm flipH="1">
          <a:off x="238128" y="239712"/>
          <a:ext cx="468000" cy="253588"/>
        </a:xfrm>
        <a:prstGeom prst="rightArrow">
          <a:avLst/>
        </a:prstGeom>
      </xdr:spPr>
      <xdr:style>
        <a:lnRef idx="0">
          <a:schemeClr val="dk1"/>
        </a:lnRef>
        <a:fillRef idx="3">
          <a:schemeClr val="dk1"/>
        </a:fillRef>
        <a:effectRef idx="3">
          <a:schemeClr val="dk1"/>
        </a:effectRef>
        <a:fontRef idx="minor">
          <a:schemeClr val="lt1"/>
        </a:fontRef>
      </xdr:style>
      <xdr:txBody>
        <a:bodyPr vertOverflow="clip" horzOverflow="clip" rtlCol="0" anchor="t"/>
        <a:lstStyle/>
        <a:p>
          <a:pPr algn="l"/>
          <a:endParaRPr lang="nl-NL" sz="1100"/>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1</xdr:col>
      <xdr:colOff>47628</xdr:colOff>
      <xdr:row>1</xdr:row>
      <xdr:rowOff>55562</xdr:rowOff>
    </xdr:from>
    <xdr:to>
      <xdr:col>1</xdr:col>
      <xdr:colOff>515628</xdr:colOff>
      <xdr:row>2</xdr:row>
      <xdr:rowOff>125000</xdr:rowOff>
    </xdr:to>
    <xdr:sp macro="" textlink="">
      <xdr:nvSpPr>
        <xdr:cNvPr id="2" name="Pijl: rechts 24">
          <a:hlinkClick xmlns:r="http://schemas.openxmlformats.org/officeDocument/2006/relationships" r:id="rId1"/>
          <a:extLst>
            <a:ext uri="{FF2B5EF4-FFF2-40B4-BE49-F238E27FC236}">
              <a16:creationId xmlns:a16="http://schemas.microsoft.com/office/drawing/2014/main" id="{00000000-0008-0000-2500-000002000000}"/>
            </a:ext>
          </a:extLst>
        </xdr:cNvPr>
        <xdr:cNvSpPr>
          <a:spLocks/>
        </xdr:cNvSpPr>
      </xdr:nvSpPr>
      <xdr:spPr>
        <a:xfrm flipH="1">
          <a:off x="238128" y="239712"/>
          <a:ext cx="468000" cy="253588"/>
        </a:xfrm>
        <a:prstGeom prst="rightArrow">
          <a:avLst/>
        </a:prstGeom>
      </xdr:spPr>
      <xdr:style>
        <a:lnRef idx="0">
          <a:schemeClr val="dk1"/>
        </a:lnRef>
        <a:fillRef idx="3">
          <a:schemeClr val="dk1"/>
        </a:fillRef>
        <a:effectRef idx="3">
          <a:schemeClr val="dk1"/>
        </a:effectRef>
        <a:fontRef idx="minor">
          <a:schemeClr val="lt1"/>
        </a:fontRef>
      </xdr:style>
      <xdr:txBody>
        <a:bodyPr vertOverflow="clip" horzOverflow="clip" rtlCol="0" anchor="t"/>
        <a:lstStyle/>
        <a:p>
          <a:pPr algn="l"/>
          <a:endParaRPr lang="nl-NL" sz="1100"/>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5</xdr:col>
      <xdr:colOff>18144</xdr:colOff>
      <xdr:row>10</xdr:row>
      <xdr:rowOff>9071</xdr:rowOff>
    </xdr:from>
    <xdr:to>
      <xdr:col>5</xdr:col>
      <xdr:colOff>187087</xdr:colOff>
      <xdr:row>10</xdr:row>
      <xdr:rowOff>178599</xdr:rowOff>
    </xdr:to>
    <xdr:pic>
      <xdr:nvPicPr>
        <xdr:cNvPr id="9" name="Afbeelding 8">
          <a:extLst>
            <a:ext uri="{FF2B5EF4-FFF2-40B4-BE49-F238E27FC236}">
              <a16:creationId xmlns:a16="http://schemas.microsoft.com/office/drawing/2014/main" id="{00000000-0008-0000-26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9994" y="1113971"/>
          <a:ext cx="168943" cy="1695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18144</xdr:colOff>
      <xdr:row>9</xdr:row>
      <xdr:rowOff>9072</xdr:rowOff>
    </xdr:from>
    <xdr:to>
      <xdr:col>5</xdr:col>
      <xdr:colOff>187087</xdr:colOff>
      <xdr:row>9</xdr:row>
      <xdr:rowOff>178600</xdr:rowOff>
    </xdr:to>
    <xdr:pic>
      <xdr:nvPicPr>
        <xdr:cNvPr id="10" name="Afbeelding 9">
          <a:extLst>
            <a:ext uri="{FF2B5EF4-FFF2-40B4-BE49-F238E27FC236}">
              <a16:creationId xmlns:a16="http://schemas.microsoft.com/office/drawing/2014/main" id="{00000000-0008-0000-26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9994" y="929822"/>
          <a:ext cx="168943" cy="1695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18143</xdr:colOff>
      <xdr:row>11</xdr:row>
      <xdr:rowOff>18143</xdr:rowOff>
    </xdr:from>
    <xdr:to>
      <xdr:col>5</xdr:col>
      <xdr:colOff>187086</xdr:colOff>
      <xdr:row>12</xdr:row>
      <xdr:rowOff>6243</xdr:rowOff>
    </xdr:to>
    <xdr:pic>
      <xdr:nvPicPr>
        <xdr:cNvPr id="11" name="Afbeelding 10">
          <a:extLst>
            <a:ext uri="{FF2B5EF4-FFF2-40B4-BE49-F238E27FC236}">
              <a16:creationId xmlns:a16="http://schemas.microsoft.com/office/drawing/2014/main" id="{00000000-0008-0000-26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9993" y="1307193"/>
          <a:ext cx="168943" cy="172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xdr:col>
          <xdr:colOff>0</xdr:colOff>
          <xdr:row>4</xdr:row>
          <xdr:rowOff>0</xdr:rowOff>
        </xdr:from>
        <xdr:to>
          <xdr:col>2</xdr:col>
          <xdr:colOff>0</xdr:colOff>
          <xdr:row>5</xdr:row>
          <xdr:rowOff>7620</xdr:rowOff>
        </xdr:to>
        <xdr:sp macro="" textlink="">
          <xdr:nvSpPr>
            <xdr:cNvPr id="37889" name="Option Button 1" hidden="1">
              <a:extLst>
                <a:ext uri="{63B3BB69-23CF-44E3-9099-C40C66FF867C}">
                  <a14:compatExt spid="_x0000_s37889"/>
                </a:ext>
                <a:ext uri="{FF2B5EF4-FFF2-40B4-BE49-F238E27FC236}">
                  <a16:creationId xmlns:a16="http://schemas.microsoft.com/office/drawing/2014/main" id="{00000000-0008-0000-2600-000001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NL" sz="800" b="0" i="0" u="none" strike="noStrike" baseline="0">
                  <a:solidFill>
                    <a:srgbClr val="000000"/>
                  </a:solidFill>
                  <a:latin typeface="Segoe UI"/>
                  <a:cs typeface="Segoe UI"/>
                </a:rPr>
                <a:t>Gemiddelde gebruiken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xdr:row>
          <xdr:rowOff>182880</xdr:rowOff>
        </xdr:from>
        <xdr:to>
          <xdr:col>2</xdr:col>
          <xdr:colOff>0</xdr:colOff>
          <xdr:row>6</xdr:row>
          <xdr:rowOff>7620</xdr:rowOff>
        </xdr:to>
        <xdr:sp macro="" textlink="">
          <xdr:nvSpPr>
            <xdr:cNvPr id="37890" name="Option Button 2" hidden="1">
              <a:extLst>
                <a:ext uri="{63B3BB69-23CF-44E3-9099-C40C66FF867C}">
                  <a14:compatExt spid="_x0000_s37890"/>
                </a:ext>
                <a:ext uri="{FF2B5EF4-FFF2-40B4-BE49-F238E27FC236}">
                  <a16:creationId xmlns:a16="http://schemas.microsoft.com/office/drawing/2014/main" id="{00000000-0008-0000-2600-000002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NL" sz="800" b="0" i="0" u="none" strike="noStrike" baseline="0">
                  <a:solidFill>
                    <a:srgbClr val="000000"/>
                  </a:solidFill>
                  <a:latin typeface="Segoe UI"/>
                  <a:cs typeface="Segoe UI"/>
                </a:rPr>
                <a:t>Huidige invoer gebruiken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xdr:row>
          <xdr:rowOff>182880</xdr:rowOff>
        </xdr:from>
        <xdr:to>
          <xdr:col>2</xdr:col>
          <xdr:colOff>0</xdr:colOff>
          <xdr:row>7</xdr:row>
          <xdr:rowOff>7620</xdr:rowOff>
        </xdr:to>
        <xdr:sp macro="" textlink="">
          <xdr:nvSpPr>
            <xdr:cNvPr id="37891" name="Option Button 3" hidden="1">
              <a:extLst>
                <a:ext uri="{63B3BB69-23CF-44E3-9099-C40C66FF867C}">
                  <a14:compatExt spid="_x0000_s37891"/>
                </a:ext>
                <a:ext uri="{FF2B5EF4-FFF2-40B4-BE49-F238E27FC236}">
                  <a16:creationId xmlns:a16="http://schemas.microsoft.com/office/drawing/2014/main" id="{00000000-0008-0000-2600-000003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NL" sz="800" b="0" i="0" u="none" strike="noStrike" baseline="0">
                  <a:solidFill>
                    <a:srgbClr val="000000"/>
                  </a:solidFill>
                  <a:latin typeface="Segoe UI"/>
                  <a:cs typeface="Segoe UI"/>
                </a:rPr>
                <a:t>Eigen invoer gebruiken</a:t>
              </a:r>
            </a:p>
          </xdr:txBody>
        </xdr:sp>
        <xdr:clientData/>
      </xdr:twoCellAnchor>
    </mc:Choice>
    <mc:Fallback/>
  </mc:AlternateContent>
  <xdr:twoCellAnchor>
    <xdr:from>
      <xdr:col>5</xdr:col>
      <xdr:colOff>18144</xdr:colOff>
      <xdr:row>10</xdr:row>
      <xdr:rowOff>9071</xdr:rowOff>
    </xdr:from>
    <xdr:to>
      <xdr:col>5</xdr:col>
      <xdr:colOff>187087</xdr:colOff>
      <xdr:row>10</xdr:row>
      <xdr:rowOff>178599</xdr:rowOff>
    </xdr:to>
    <xdr:pic>
      <xdr:nvPicPr>
        <xdr:cNvPr id="6" name="Afbeelding 5">
          <a:extLst>
            <a:ext uri="{FF2B5EF4-FFF2-40B4-BE49-F238E27FC236}">
              <a16:creationId xmlns:a16="http://schemas.microsoft.com/office/drawing/2014/main" id="{00000000-0008-0000-26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9994" y="1126671"/>
          <a:ext cx="168943" cy="169528"/>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xdr:from>
      <xdr:col>5</xdr:col>
      <xdr:colOff>18144</xdr:colOff>
      <xdr:row>9</xdr:row>
      <xdr:rowOff>9072</xdr:rowOff>
    </xdr:from>
    <xdr:to>
      <xdr:col>5</xdr:col>
      <xdr:colOff>187087</xdr:colOff>
      <xdr:row>9</xdr:row>
      <xdr:rowOff>178600</xdr:rowOff>
    </xdr:to>
    <xdr:pic>
      <xdr:nvPicPr>
        <xdr:cNvPr id="7" name="Afbeelding 6">
          <a:extLst>
            <a:ext uri="{FF2B5EF4-FFF2-40B4-BE49-F238E27FC236}">
              <a16:creationId xmlns:a16="http://schemas.microsoft.com/office/drawing/2014/main" id="{00000000-0008-0000-26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9994" y="942522"/>
          <a:ext cx="168943" cy="169528"/>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xdr:from>
      <xdr:col>5</xdr:col>
      <xdr:colOff>18143</xdr:colOff>
      <xdr:row>11</xdr:row>
      <xdr:rowOff>18143</xdr:rowOff>
    </xdr:from>
    <xdr:to>
      <xdr:col>5</xdr:col>
      <xdr:colOff>187086</xdr:colOff>
      <xdr:row>12</xdr:row>
      <xdr:rowOff>6243</xdr:rowOff>
    </xdr:to>
    <xdr:pic>
      <xdr:nvPicPr>
        <xdr:cNvPr id="8" name="Afbeelding 7">
          <a:extLst>
            <a:ext uri="{FF2B5EF4-FFF2-40B4-BE49-F238E27FC236}">
              <a16:creationId xmlns:a16="http://schemas.microsoft.com/office/drawing/2014/main" id="{00000000-0008-0000-26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9993" y="1319893"/>
          <a:ext cx="168943" cy="17225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xdr:from>
      <xdr:col>1</xdr:col>
      <xdr:colOff>47628</xdr:colOff>
      <xdr:row>1</xdr:row>
      <xdr:rowOff>55562</xdr:rowOff>
    </xdr:from>
    <xdr:to>
      <xdr:col>1</xdr:col>
      <xdr:colOff>515628</xdr:colOff>
      <xdr:row>2</xdr:row>
      <xdr:rowOff>125000</xdr:rowOff>
    </xdr:to>
    <xdr:sp macro="" textlink="">
      <xdr:nvSpPr>
        <xdr:cNvPr id="14" name="Pijl: rechts 24">
          <a:hlinkClick xmlns:r="http://schemas.openxmlformats.org/officeDocument/2006/relationships" r:id="rId2"/>
          <a:extLst>
            <a:ext uri="{FF2B5EF4-FFF2-40B4-BE49-F238E27FC236}">
              <a16:creationId xmlns:a16="http://schemas.microsoft.com/office/drawing/2014/main" id="{00000000-0008-0000-2600-00000E000000}"/>
            </a:ext>
          </a:extLst>
        </xdr:cNvPr>
        <xdr:cNvSpPr>
          <a:spLocks/>
        </xdr:cNvSpPr>
      </xdr:nvSpPr>
      <xdr:spPr>
        <a:xfrm flipH="1">
          <a:off x="238128" y="239712"/>
          <a:ext cx="468000" cy="253588"/>
        </a:xfrm>
        <a:prstGeom prst="rightArrow">
          <a:avLst/>
        </a:prstGeom>
      </xdr:spPr>
      <xdr:style>
        <a:lnRef idx="0">
          <a:schemeClr val="dk1"/>
        </a:lnRef>
        <a:fillRef idx="3">
          <a:schemeClr val="dk1"/>
        </a:fillRef>
        <a:effectRef idx="3">
          <a:schemeClr val="dk1"/>
        </a:effectRef>
        <a:fontRef idx="minor">
          <a:schemeClr val="lt1"/>
        </a:fontRef>
      </xdr:style>
      <xdr:txBody>
        <a:bodyPr vertOverflow="clip" horzOverflow="clip" rtlCol="0" anchor="t"/>
        <a:lstStyle/>
        <a:p>
          <a:pPr algn="l"/>
          <a:endParaRPr lang="nl-NL"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63504</xdr:rowOff>
    </xdr:from>
    <xdr:to>
      <xdr:col>1</xdr:col>
      <xdr:colOff>1044000</xdr:colOff>
      <xdr:row>2</xdr:row>
      <xdr:rowOff>119066</xdr:rowOff>
    </xdr:to>
    <xdr:sp macro="" textlink="">
      <xdr:nvSpPr>
        <xdr:cNvPr id="14" name="Tekstvak 13">
          <a:hlinkClick xmlns:r="http://schemas.openxmlformats.org/officeDocument/2006/relationships" r:id="rId1"/>
          <a:extLst>
            <a:ext uri="{FF2B5EF4-FFF2-40B4-BE49-F238E27FC236}">
              <a16:creationId xmlns:a16="http://schemas.microsoft.com/office/drawing/2014/main" id="{00000000-0008-0000-0300-00000E000000}"/>
            </a:ext>
          </a:extLst>
        </xdr:cNvPr>
        <xdr:cNvSpPr txBox="1"/>
      </xdr:nvSpPr>
      <xdr:spPr>
        <a:xfrm>
          <a:off x="190500" y="63504"/>
          <a:ext cx="1044000" cy="420687"/>
        </a:xfrm>
        <a:prstGeom prst="homePlate">
          <a:avLst/>
        </a:prstGeom>
        <a:solidFill>
          <a:schemeClr val="bg1">
            <a:lumMod val="95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nl-NL" sz="1400" b="1"/>
            <a:t>Inleiding</a:t>
          </a:r>
        </a:p>
      </xdr:txBody>
    </xdr:sp>
    <xdr:clientData/>
  </xdr:twoCellAnchor>
  <xdr:twoCellAnchor>
    <xdr:from>
      <xdr:col>1</xdr:col>
      <xdr:colOff>1120771</xdr:colOff>
      <xdr:row>0</xdr:row>
      <xdr:rowOff>73023</xdr:rowOff>
    </xdr:from>
    <xdr:to>
      <xdr:col>2</xdr:col>
      <xdr:colOff>243896</xdr:colOff>
      <xdr:row>2</xdr:row>
      <xdr:rowOff>128585</xdr:rowOff>
    </xdr:to>
    <xdr:sp macro="" textlink="">
      <xdr:nvSpPr>
        <xdr:cNvPr id="15" name="Tekstvak 14">
          <a:hlinkClick xmlns:r="http://schemas.openxmlformats.org/officeDocument/2006/relationships" r:id="rId2"/>
          <a:extLst>
            <a:ext uri="{FF2B5EF4-FFF2-40B4-BE49-F238E27FC236}">
              <a16:creationId xmlns:a16="http://schemas.microsoft.com/office/drawing/2014/main" id="{00000000-0008-0000-0300-00000F000000}"/>
            </a:ext>
          </a:extLst>
        </xdr:cNvPr>
        <xdr:cNvSpPr txBox="1"/>
      </xdr:nvSpPr>
      <xdr:spPr>
        <a:xfrm>
          <a:off x="1311271" y="73023"/>
          <a:ext cx="1044000" cy="420687"/>
        </a:xfrm>
        <a:prstGeom prst="homePlate">
          <a:avLst/>
        </a:prstGeom>
        <a:solidFill>
          <a:schemeClr val="bg1">
            <a:lumMod val="95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nl-NL" sz="1400" b="1">
              <a:solidFill>
                <a:sysClr val="windowText" lastClr="000000"/>
              </a:solidFill>
            </a:rPr>
            <a:t>Extra</a:t>
          </a:r>
          <a:r>
            <a:rPr lang="nl-NL" sz="1400" b="1"/>
            <a:t> </a:t>
          </a:r>
          <a:r>
            <a:rPr lang="nl-NL" sz="1400" b="1">
              <a:solidFill>
                <a:sysClr val="windowText" lastClr="000000"/>
              </a:solidFill>
            </a:rPr>
            <a:t>land</a:t>
          </a:r>
        </a:p>
      </xdr:txBody>
    </xdr:sp>
    <xdr:clientData/>
  </xdr:twoCellAnchor>
  <xdr:twoCellAnchor>
    <xdr:from>
      <xdr:col>2</xdr:col>
      <xdr:colOff>309571</xdr:colOff>
      <xdr:row>0</xdr:row>
      <xdr:rowOff>79375</xdr:rowOff>
    </xdr:from>
    <xdr:to>
      <xdr:col>3</xdr:col>
      <xdr:colOff>242321</xdr:colOff>
      <xdr:row>2</xdr:row>
      <xdr:rowOff>134937</xdr:rowOff>
    </xdr:to>
    <xdr:sp macro="" textlink="">
      <xdr:nvSpPr>
        <xdr:cNvPr id="16" name="Tekstvak 15">
          <a:hlinkClick xmlns:r="http://schemas.openxmlformats.org/officeDocument/2006/relationships" r:id="rId3"/>
          <a:extLst>
            <a:ext uri="{FF2B5EF4-FFF2-40B4-BE49-F238E27FC236}">
              <a16:creationId xmlns:a16="http://schemas.microsoft.com/office/drawing/2014/main" id="{00000000-0008-0000-0300-000010000000}"/>
            </a:ext>
          </a:extLst>
        </xdr:cNvPr>
        <xdr:cNvSpPr txBox="1"/>
      </xdr:nvSpPr>
      <xdr:spPr>
        <a:xfrm>
          <a:off x="2420946" y="79375"/>
          <a:ext cx="1044000" cy="420687"/>
        </a:xfrm>
        <a:prstGeom prst="homePlate">
          <a:avLst/>
        </a:prstGeom>
        <a:solidFill>
          <a:schemeClr val="bg1">
            <a:lumMod val="95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nl-NL" sz="1400" b="1"/>
            <a:t>Bouwplan</a:t>
          </a:r>
        </a:p>
      </xdr:txBody>
    </xdr:sp>
    <xdr:clientData/>
  </xdr:twoCellAnchor>
  <xdr:twoCellAnchor>
    <xdr:from>
      <xdr:col>3</xdr:col>
      <xdr:colOff>309593</xdr:colOff>
      <xdr:row>0</xdr:row>
      <xdr:rowOff>79375</xdr:rowOff>
    </xdr:from>
    <xdr:to>
      <xdr:col>4</xdr:col>
      <xdr:colOff>147093</xdr:colOff>
      <xdr:row>2</xdr:row>
      <xdr:rowOff>134937</xdr:rowOff>
    </xdr:to>
    <xdr:sp macro="" textlink="">
      <xdr:nvSpPr>
        <xdr:cNvPr id="17" name="Tekstvak 16">
          <a:hlinkClick xmlns:r="http://schemas.openxmlformats.org/officeDocument/2006/relationships" r:id="rId4"/>
          <a:extLst>
            <a:ext uri="{FF2B5EF4-FFF2-40B4-BE49-F238E27FC236}">
              <a16:creationId xmlns:a16="http://schemas.microsoft.com/office/drawing/2014/main" id="{00000000-0008-0000-0300-000011000000}"/>
            </a:ext>
          </a:extLst>
        </xdr:cNvPr>
        <xdr:cNvSpPr txBox="1"/>
      </xdr:nvSpPr>
      <xdr:spPr>
        <a:xfrm>
          <a:off x="3532218" y="79375"/>
          <a:ext cx="1044000" cy="420687"/>
        </a:xfrm>
        <a:prstGeom prst="homePlate">
          <a:avLst/>
        </a:prstGeom>
        <a:solidFill>
          <a:schemeClr val="accent2">
            <a:lumMod val="60000"/>
            <a:lumOff val="40000"/>
          </a:schemeClr>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nl-NL" sz="1400" b="1"/>
            <a:t>Voer</a:t>
          </a:r>
          <a:endParaRPr lang="nl-NL" sz="1600" b="1"/>
        </a:p>
      </xdr:txBody>
    </xdr:sp>
    <xdr:clientData/>
  </xdr:twoCellAnchor>
  <xdr:twoCellAnchor>
    <xdr:from>
      <xdr:col>4</xdr:col>
      <xdr:colOff>214322</xdr:colOff>
      <xdr:row>0</xdr:row>
      <xdr:rowOff>87313</xdr:rowOff>
    </xdr:from>
    <xdr:to>
      <xdr:col>5</xdr:col>
      <xdr:colOff>313759</xdr:colOff>
      <xdr:row>2</xdr:row>
      <xdr:rowOff>142875</xdr:rowOff>
    </xdr:to>
    <xdr:sp macro="" textlink="">
      <xdr:nvSpPr>
        <xdr:cNvPr id="18" name="Tekstvak 17">
          <a:hlinkClick xmlns:r="http://schemas.openxmlformats.org/officeDocument/2006/relationships" r:id="rId5"/>
          <a:extLst>
            <a:ext uri="{FF2B5EF4-FFF2-40B4-BE49-F238E27FC236}">
              <a16:creationId xmlns:a16="http://schemas.microsoft.com/office/drawing/2014/main" id="{00000000-0008-0000-0300-000012000000}"/>
            </a:ext>
          </a:extLst>
        </xdr:cNvPr>
        <xdr:cNvSpPr txBox="1"/>
      </xdr:nvSpPr>
      <xdr:spPr>
        <a:xfrm>
          <a:off x="4643447" y="87313"/>
          <a:ext cx="1044000" cy="420687"/>
        </a:xfrm>
        <a:prstGeom prst="homePlate">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nl-NL" sz="1050" b="1"/>
            <a:t>Melk-productie</a:t>
          </a:r>
          <a:endParaRPr lang="nl-NL" sz="1400" b="1"/>
        </a:p>
      </xdr:txBody>
    </xdr:sp>
    <xdr:clientData/>
  </xdr:twoCellAnchor>
  <xdr:twoCellAnchor>
    <xdr:from>
      <xdr:col>5</xdr:col>
      <xdr:colOff>382591</xdr:colOff>
      <xdr:row>0</xdr:row>
      <xdr:rowOff>88899</xdr:rowOff>
    </xdr:from>
    <xdr:to>
      <xdr:col>6</xdr:col>
      <xdr:colOff>482029</xdr:colOff>
      <xdr:row>2</xdr:row>
      <xdr:rowOff>144461</xdr:rowOff>
    </xdr:to>
    <xdr:sp macro="" textlink="">
      <xdr:nvSpPr>
        <xdr:cNvPr id="19" name="Tekstvak 18">
          <a:hlinkClick xmlns:r="http://schemas.openxmlformats.org/officeDocument/2006/relationships" r:id="rId6"/>
          <a:extLst>
            <a:ext uri="{FF2B5EF4-FFF2-40B4-BE49-F238E27FC236}">
              <a16:creationId xmlns:a16="http://schemas.microsoft.com/office/drawing/2014/main" id="{00000000-0008-0000-0300-000013000000}"/>
            </a:ext>
          </a:extLst>
        </xdr:cNvPr>
        <xdr:cNvSpPr txBox="1"/>
      </xdr:nvSpPr>
      <xdr:spPr>
        <a:xfrm>
          <a:off x="5756279" y="88899"/>
          <a:ext cx="1044000" cy="420687"/>
        </a:xfrm>
        <a:prstGeom prst="homePlate">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nl-NL" sz="1000" b="1"/>
            <a:t>Toegerekende kosten</a:t>
          </a:r>
        </a:p>
      </xdr:txBody>
    </xdr:sp>
    <xdr:clientData/>
  </xdr:twoCellAnchor>
  <xdr:twoCellAnchor>
    <xdr:from>
      <xdr:col>6</xdr:col>
      <xdr:colOff>550869</xdr:colOff>
      <xdr:row>0</xdr:row>
      <xdr:rowOff>98421</xdr:rowOff>
    </xdr:from>
    <xdr:to>
      <xdr:col>7</xdr:col>
      <xdr:colOff>674119</xdr:colOff>
      <xdr:row>2</xdr:row>
      <xdr:rowOff>153983</xdr:rowOff>
    </xdr:to>
    <xdr:sp macro="" textlink="">
      <xdr:nvSpPr>
        <xdr:cNvPr id="20" name="Tekstvak 19">
          <a:hlinkClick xmlns:r="http://schemas.openxmlformats.org/officeDocument/2006/relationships" r:id="rId7"/>
          <a:extLst>
            <a:ext uri="{FF2B5EF4-FFF2-40B4-BE49-F238E27FC236}">
              <a16:creationId xmlns:a16="http://schemas.microsoft.com/office/drawing/2014/main" id="{00000000-0008-0000-0300-000014000000}"/>
            </a:ext>
          </a:extLst>
        </xdr:cNvPr>
        <xdr:cNvSpPr txBox="1"/>
      </xdr:nvSpPr>
      <xdr:spPr>
        <a:xfrm>
          <a:off x="6869119" y="98421"/>
          <a:ext cx="1044000" cy="420687"/>
        </a:xfrm>
        <a:prstGeom prst="homePlate">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nl-NL" sz="1400" b="1"/>
            <a:t>Resultaat</a:t>
          </a:r>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5</xdr:col>
      <xdr:colOff>18144</xdr:colOff>
      <xdr:row>10</xdr:row>
      <xdr:rowOff>9071</xdr:rowOff>
    </xdr:from>
    <xdr:to>
      <xdr:col>5</xdr:col>
      <xdr:colOff>187087</xdr:colOff>
      <xdr:row>10</xdr:row>
      <xdr:rowOff>178599</xdr:rowOff>
    </xdr:to>
    <xdr:pic>
      <xdr:nvPicPr>
        <xdr:cNvPr id="9" name="Afbeelding 8">
          <a:extLst>
            <a:ext uri="{FF2B5EF4-FFF2-40B4-BE49-F238E27FC236}">
              <a16:creationId xmlns:a16="http://schemas.microsoft.com/office/drawing/2014/main" id="{00000000-0008-0000-27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9994" y="1113971"/>
          <a:ext cx="168943" cy="1695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18144</xdr:colOff>
      <xdr:row>9</xdr:row>
      <xdr:rowOff>9072</xdr:rowOff>
    </xdr:from>
    <xdr:to>
      <xdr:col>5</xdr:col>
      <xdr:colOff>187087</xdr:colOff>
      <xdr:row>9</xdr:row>
      <xdr:rowOff>178600</xdr:rowOff>
    </xdr:to>
    <xdr:pic>
      <xdr:nvPicPr>
        <xdr:cNvPr id="10" name="Afbeelding 9">
          <a:extLst>
            <a:ext uri="{FF2B5EF4-FFF2-40B4-BE49-F238E27FC236}">
              <a16:creationId xmlns:a16="http://schemas.microsoft.com/office/drawing/2014/main" id="{00000000-0008-0000-27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9994" y="929822"/>
          <a:ext cx="168943" cy="1695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18143</xdr:colOff>
      <xdr:row>11</xdr:row>
      <xdr:rowOff>18143</xdr:rowOff>
    </xdr:from>
    <xdr:to>
      <xdr:col>5</xdr:col>
      <xdr:colOff>187086</xdr:colOff>
      <xdr:row>12</xdr:row>
      <xdr:rowOff>6243</xdr:rowOff>
    </xdr:to>
    <xdr:pic>
      <xdr:nvPicPr>
        <xdr:cNvPr id="11" name="Afbeelding 10">
          <a:extLst>
            <a:ext uri="{FF2B5EF4-FFF2-40B4-BE49-F238E27FC236}">
              <a16:creationId xmlns:a16="http://schemas.microsoft.com/office/drawing/2014/main" id="{00000000-0008-0000-27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9993" y="1307193"/>
          <a:ext cx="168943" cy="172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xdr:col>
          <xdr:colOff>0</xdr:colOff>
          <xdr:row>4</xdr:row>
          <xdr:rowOff>0</xdr:rowOff>
        </xdr:from>
        <xdr:to>
          <xdr:col>2</xdr:col>
          <xdr:colOff>0</xdr:colOff>
          <xdr:row>5</xdr:row>
          <xdr:rowOff>7620</xdr:rowOff>
        </xdr:to>
        <xdr:sp macro="" textlink="">
          <xdr:nvSpPr>
            <xdr:cNvPr id="38913" name="Option Button 1" hidden="1">
              <a:extLst>
                <a:ext uri="{63B3BB69-23CF-44E3-9099-C40C66FF867C}">
                  <a14:compatExt spid="_x0000_s38913"/>
                </a:ext>
                <a:ext uri="{FF2B5EF4-FFF2-40B4-BE49-F238E27FC236}">
                  <a16:creationId xmlns:a16="http://schemas.microsoft.com/office/drawing/2014/main" id="{00000000-0008-0000-2700-000001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NL" sz="800" b="0" i="0" u="none" strike="noStrike" baseline="0">
                  <a:solidFill>
                    <a:srgbClr val="000000"/>
                  </a:solidFill>
                  <a:latin typeface="Segoe UI"/>
                  <a:cs typeface="Segoe UI"/>
                </a:rPr>
                <a:t>Gemiddelde gebruiken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0</xdr:rowOff>
        </xdr:to>
        <xdr:sp macro="" textlink="">
          <xdr:nvSpPr>
            <xdr:cNvPr id="38914" name="Option Button 2" hidden="1">
              <a:extLst>
                <a:ext uri="{63B3BB69-23CF-44E3-9099-C40C66FF867C}">
                  <a14:compatExt spid="_x0000_s38914"/>
                </a:ext>
                <a:ext uri="{FF2B5EF4-FFF2-40B4-BE49-F238E27FC236}">
                  <a16:creationId xmlns:a16="http://schemas.microsoft.com/office/drawing/2014/main" id="{00000000-0008-0000-2700-000002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NL" sz="800" b="0" i="0" u="none" strike="noStrike" baseline="0">
                  <a:solidFill>
                    <a:srgbClr val="000000"/>
                  </a:solidFill>
                  <a:latin typeface="Segoe UI"/>
                  <a:cs typeface="Segoe UI"/>
                </a:rPr>
                <a:t>Huidige invoer gebruiken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xdr:row>
          <xdr:rowOff>0</xdr:rowOff>
        </xdr:from>
        <xdr:to>
          <xdr:col>2</xdr:col>
          <xdr:colOff>0</xdr:colOff>
          <xdr:row>7</xdr:row>
          <xdr:rowOff>0</xdr:rowOff>
        </xdr:to>
        <xdr:sp macro="" textlink="">
          <xdr:nvSpPr>
            <xdr:cNvPr id="38915" name="Option Button 3" hidden="1">
              <a:extLst>
                <a:ext uri="{63B3BB69-23CF-44E3-9099-C40C66FF867C}">
                  <a14:compatExt spid="_x0000_s38915"/>
                </a:ext>
                <a:ext uri="{FF2B5EF4-FFF2-40B4-BE49-F238E27FC236}">
                  <a16:creationId xmlns:a16="http://schemas.microsoft.com/office/drawing/2014/main" id="{00000000-0008-0000-2700-000003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NL" sz="800" b="0" i="0" u="none" strike="noStrike" baseline="0">
                  <a:solidFill>
                    <a:srgbClr val="000000"/>
                  </a:solidFill>
                  <a:latin typeface="Segoe UI"/>
                  <a:cs typeface="Segoe UI"/>
                </a:rPr>
                <a:t>Eigen invoer gebruiken</a:t>
              </a:r>
            </a:p>
          </xdr:txBody>
        </xdr:sp>
        <xdr:clientData/>
      </xdr:twoCellAnchor>
    </mc:Choice>
    <mc:Fallback/>
  </mc:AlternateContent>
  <xdr:twoCellAnchor>
    <xdr:from>
      <xdr:col>5</xdr:col>
      <xdr:colOff>18144</xdr:colOff>
      <xdr:row>10</xdr:row>
      <xdr:rowOff>9071</xdr:rowOff>
    </xdr:from>
    <xdr:to>
      <xdr:col>5</xdr:col>
      <xdr:colOff>187087</xdr:colOff>
      <xdr:row>10</xdr:row>
      <xdr:rowOff>178599</xdr:rowOff>
    </xdr:to>
    <xdr:pic>
      <xdr:nvPicPr>
        <xdr:cNvPr id="6" name="Afbeelding 5">
          <a:extLst>
            <a:ext uri="{FF2B5EF4-FFF2-40B4-BE49-F238E27FC236}">
              <a16:creationId xmlns:a16="http://schemas.microsoft.com/office/drawing/2014/main" id="{00000000-0008-0000-27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9994" y="1126671"/>
          <a:ext cx="168943" cy="169528"/>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xdr:from>
      <xdr:col>5</xdr:col>
      <xdr:colOff>18144</xdr:colOff>
      <xdr:row>9</xdr:row>
      <xdr:rowOff>9072</xdr:rowOff>
    </xdr:from>
    <xdr:to>
      <xdr:col>5</xdr:col>
      <xdr:colOff>187087</xdr:colOff>
      <xdr:row>9</xdr:row>
      <xdr:rowOff>178600</xdr:rowOff>
    </xdr:to>
    <xdr:pic>
      <xdr:nvPicPr>
        <xdr:cNvPr id="7" name="Afbeelding 6">
          <a:extLst>
            <a:ext uri="{FF2B5EF4-FFF2-40B4-BE49-F238E27FC236}">
              <a16:creationId xmlns:a16="http://schemas.microsoft.com/office/drawing/2014/main" id="{00000000-0008-0000-27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9994" y="942522"/>
          <a:ext cx="168943" cy="169528"/>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xdr:from>
      <xdr:col>5</xdr:col>
      <xdr:colOff>18143</xdr:colOff>
      <xdr:row>11</xdr:row>
      <xdr:rowOff>18143</xdr:rowOff>
    </xdr:from>
    <xdr:to>
      <xdr:col>5</xdr:col>
      <xdr:colOff>187086</xdr:colOff>
      <xdr:row>12</xdr:row>
      <xdr:rowOff>6243</xdr:rowOff>
    </xdr:to>
    <xdr:pic>
      <xdr:nvPicPr>
        <xdr:cNvPr id="8" name="Afbeelding 7">
          <a:extLst>
            <a:ext uri="{FF2B5EF4-FFF2-40B4-BE49-F238E27FC236}">
              <a16:creationId xmlns:a16="http://schemas.microsoft.com/office/drawing/2014/main" id="{00000000-0008-0000-27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9993" y="1319893"/>
          <a:ext cx="168943" cy="17225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xdr:from>
      <xdr:col>1</xdr:col>
      <xdr:colOff>47628</xdr:colOff>
      <xdr:row>1</xdr:row>
      <xdr:rowOff>55562</xdr:rowOff>
    </xdr:from>
    <xdr:to>
      <xdr:col>1</xdr:col>
      <xdr:colOff>515628</xdr:colOff>
      <xdr:row>2</xdr:row>
      <xdr:rowOff>125000</xdr:rowOff>
    </xdr:to>
    <xdr:sp macro="" textlink="">
      <xdr:nvSpPr>
        <xdr:cNvPr id="14" name="Pijl: rechts 24">
          <a:hlinkClick xmlns:r="http://schemas.openxmlformats.org/officeDocument/2006/relationships" r:id="rId2"/>
          <a:extLst>
            <a:ext uri="{FF2B5EF4-FFF2-40B4-BE49-F238E27FC236}">
              <a16:creationId xmlns:a16="http://schemas.microsoft.com/office/drawing/2014/main" id="{00000000-0008-0000-2700-00000E000000}"/>
            </a:ext>
          </a:extLst>
        </xdr:cNvPr>
        <xdr:cNvSpPr>
          <a:spLocks/>
        </xdr:cNvSpPr>
      </xdr:nvSpPr>
      <xdr:spPr>
        <a:xfrm flipH="1">
          <a:off x="238128" y="239712"/>
          <a:ext cx="468000" cy="253588"/>
        </a:xfrm>
        <a:prstGeom prst="rightArrow">
          <a:avLst/>
        </a:prstGeom>
      </xdr:spPr>
      <xdr:style>
        <a:lnRef idx="0">
          <a:schemeClr val="dk1"/>
        </a:lnRef>
        <a:fillRef idx="3">
          <a:schemeClr val="dk1"/>
        </a:fillRef>
        <a:effectRef idx="3">
          <a:schemeClr val="dk1"/>
        </a:effectRef>
        <a:fontRef idx="minor">
          <a:schemeClr val="lt1"/>
        </a:fontRef>
      </xdr:style>
      <xdr:txBody>
        <a:bodyPr vertOverflow="clip" horzOverflow="clip" rtlCol="0" anchor="t"/>
        <a:lstStyle/>
        <a:p>
          <a:pPr algn="l"/>
          <a:endParaRPr lang="nl-NL" sz="1100"/>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5</xdr:col>
      <xdr:colOff>18144</xdr:colOff>
      <xdr:row>10</xdr:row>
      <xdr:rowOff>9071</xdr:rowOff>
    </xdr:from>
    <xdr:to>
      <xdr:col>5</xdr:col>
      <xdr:colOff>187087</xdr:colOff>
      <xdr:row>10</xdr:row>
      <xdr:rowOff>178599</xdr:rowOff>
    </xdr:to>
    <xdr:pic>
      <xdr:nvPicPr>
        <xdr:cNvPr id="9" name="Afbeelding 8">
          <a:extLst>
            <a:ext uri="{FF2B5EF4-FFF2-40B4-BE49-F238E27FC236}">
              <a16:creationId xmlns:a16="http://schemas.microsoft.com/office/drawing/2014/main" id="{00000000-0008-0000-28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9994" y="1113971"/>
          <a:ext cx="168943" cy="1695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18144</xdr:colOff>
      <xdr:row>9</xdr:row>
      <xdr:rowOff>9072</xdr:rowOff>
    </xdr:from>
    <xdr:to>
      <xdr:col>5</xdr:col>
      <xdr:colOff>187087</xdr:colOff>
      <xdr:row>9</xdr:row>
      <xdr:rowOff>178600</xdr:rowOff>
    </xdr:to>
    <xdr:pic>
      <xdr:nvPicPr>
        <xdr:cNvPr id="10" name="Afbeelding 9">
          <a:extLst>
            <a:ext uri="{FF2B5EF4-FFF2-40B4-BE49-F238E27FC236}">
              <a16:creationId xmlns:a16="http://schemas.microsoft.com/office/drawing/2014/main" id="{00000000-0008-0000-28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9994" y="929822"/>
          <a:ext cx="168943" cy="1695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18143</xdr:colOff>
      <xdr:row>11</xdr:row>
      <xdr:rowOff>18143</xdr:rowOff>
    </xdr:from>
    <xdr:to>
      <xdr:col>5</xdr:col>
      <xdr:colOff>187086</xdr:colOff>
      <xdr:row>12</xdr:row>
      <xdr:rowOff>6243</xdr:rowOff>
    </xdr:to>
    <xdr:pic>
      <xdr:nvPicPr>
        <xdr:cNvPr id="11" name="Afbeelding 10">
          <a:extLst>
            <a:ext uri="{FF2B5EF4-FFF2-40B4-BE49-F238E27FC236}">
              <a16:creationId xmlns:a16="http://schemas.microsoft.com/office/drawing/2014/main" id="{00000000-0008-0000-28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9993" y="1307193"/>
          <a:ext cx="168943" cy="172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xdr:col>
          <xdr:colOff>0</xdr:colOff>
          <xdr:row>4</xdr:row>
          <xdr:rowOff>0</xdr:rowOff>
        </xdr:from>
        <xdr:to>
          <xdr:col>2</xdr:col>
          <xdr:colOff>0</xdr:colOff>
          <xdr:row>5</xdr:row>
          <xdr:rowOff>7620</xdr:rowOff>
        </xdr:to>
        <xdr:sp macro="" textlink="">
          <xdr:nvSpPr>
            <xdr:cNvPr id="39937" name="Option Button 1" hidden="1">
              <a:extLst>
                <a:ext uri="{63B3BB69-23CF-44E3-9099-C40C66FF867C}">
                  <a14:compatExt spid="_x0000_s39937"/>
                </a:ext>
                <a:ext uri="{FF2B5EF4-FFF2-40B4-BE49-F238E27FC236}">
                  <a16:creationId xmlns:a16="http://schemas.microsoft.com/office/drawing/2014/main" id="{00000000-0008-0000-2800-000001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NL" sz="800" b="0" i="0" u="none" strike="noStrike" baseline="0">
                  <a:solidFill>
                    <a:srgbClr val="000000"/>
                  </a:solidFill>
                  <a:latin typeface="Segoe UI"/>
                  <a:cs typeface="Segoe UI"/>
                </a:rPr>
                <a:t>Gemiddelde gebruiken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0</xdr:rowOff>
        </xdr:to>
        <xdr:sp macro="" textlink="">
          <xdr:nvSpPr>
            <xdr:cNvPr id="39938" name="Option Button 2" hidden="1">
              <a:extLst>
                <a:ext uri="{63B3BB69-23CF-44E3-9099-C40C66FF867C}">
                  <a14:compatExt spid="_x0000_s39938"/>
                </a:ext>
                <a:ext uri="{FF2B5EF4-FFF2-40B4-BE49-F238E27FC236}">
                  <a16:creationId xmlns:a16="http://schemas.microsoft.com/office/drawing/2014/main" id="{00000000-0008-0000-2800-000002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NL" sz="800" b="0" i="0" u="none" strike="noStrike" baseline="0">
                  <a:solidFill>
                    <a:srgbClr val="000000"/>
                  </a:solidFill>
                  <a:latin typeface="Segoe UI"/>
                  <a:cs typeface="Segoe UI"/>
                </a:rPr>
                <a:t>Huidige invoer gebruiken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xdr:row>
          <xdr:rowOff>0</xdr:rowOff>
        </xdr:from>
        <xdr:to>
          <xdr:col>2</xdr:col>
          <xdr:colOff>0</xdr:colOff>
          <xdr:row>7</xdr:row>
          <xdr:rowOff>0</xdr:rowOff>
        </xdr:to>
        <xdr:sp macro="" textlink="">
          <xdr:nvSpPr>
            <xdr:cNvPr id="39939" name="Option Button 3" hidden="1">
              <a:extLst>
                <a:ext uri="{63B3BB69-23CF-44E3-9099-C40C66FF867C}">
                  <a14:compatExt spid="_x0000_s39939"/>
                </a:ext>
                <a:ext uri="{FF2B5EF4-FFF2-40B4-BE49-F238E27FC236}">
                  <a16:creationId xmlns:a16="http://schemas.microsoft.com/office/drawing/2014/main" id="{00000000-0008-0000-2800-000003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NL" sz="800" b="0" i="0" u="none" strike="noStrike" baseline="0">
                  <a:solidFill>
                    <a:srgbClr val="000000"/>
                  </a:solidFill>
                  <a:latin typeface="Segoe UI"/>
                  <a:cs typeface="Segoe UI"/>
                </a:rPr>
                <a:t>Eigen invoer gebruiken</a:t>
              </a:r>
            </a:p>
          </xdr:txBody>
        </xdr:sp>
        <xdr:clientData/>
      </xdr:twoCellAnchor>
    </mc:Choice>
    <mc:Fallback/>
  </mc:AlternateContent>
  <xdr:twoCellAnchor>
    <xdr:from>
      <xdr:col>5</xdr:col>
      <xdr:colOff>18144</xdr:colOff>
      <xdr:row>10</xdr:row>
      <xdr:rowOff>9071</xdr:rowOff>
    </xdr:from>
    <xdr:to>
      <xdr:col>5</xdr:col>
      <xdr:colOff>187087</xdr:colOff>
      <xdr:row>10</xdr:row>
      <xdr:rowOff>178599</xdr:rowOff>
    </xdr:to>
    <xdr:pic>
      <xdr:nvPicPr>
        <xdr:cNvPr id="6" name="Afbeelding 5">
          <a:extLst>
            <a:ext uri="{FF2B5EF4-FFF2-40B4-BE49-F238E27FC236}">
              <a16:creationId xmlns:a16="http://schemas.microsoft.com/office/drawing/2014/main" id="{00000000-0008-0000-28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9994" y="1126671"/>
          <a:ext cx="168943" cy="169528"/>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xdr:from>
      <xdr:col>5</xdr:col>
      <xdr:colOff>18144</xdr:colOff>
      <xdr:row>9</xdr:row>
      <xdr:rowOff>9072</xdr:rowOff>
    </xdr:from>
    <xdr:to>
      <xdr:col>5</xdr:col>
      <xdr:colOff>187087</xdr:colOff>
      <xdr:row>9</xdr:row>
      <xdr:rowOff>178600</xdr:rowOff>
    </xdr:to>
    <xdr:pic>
      <xdr:nvPicPr>
        <xdr:cNvPr id="7" name="Afbeelding 6">
          <a:extLst>
            <a:ext uri="{FF2B5EF4-FFF2-40B4-BE49-F238E27FC236}">
              <a16:creationId xmlns:a16="http://schemas.microsoft.com/office/drawing/2014/main" id="{00000000-0008-0000-28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9994" y="942522"/>
          <a:ext cx="168943" cy="169528"/>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xdr:from>
      <xdr:col>5</xdr:col>
      <xdr:colOff>18143</xdr:colOff>
      <xdr:row>11</xdr:row>
      <xdr:rowOff>18143</xdr:rowOff>
    </xdr:from>
    <xdr:to>
      <xdr:col>5</xdr:col>
      <xdr:colOff>187086</xdr:colOff>
      <xdr:row>12</xdr:row>
      <xdr:rowOff>6243</xdr:rowOff>
    </xdr:to>
    <xdr:pic>
      <xdr:nvPicPr>
        <xdr:cNvPr id="8" name="Afbeelding 7">
          <a:extLst>
            <a:ext uri="{FF2B5EF4-FFF2-40B4-BE49-F238E27FC236}">
              <a16:creationId xmlns:a16="http://schemas.microsoft.com/office/drawing/2014/main" id="{00000000-0008-0000-28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9993" y="1319893"/>
          <a:ext cx="168943" cy="17225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xdr:from>
      <xdr:col>1</xdr:col>
      <xdr:colOff>47628</xdr:colOff>
      <xdr:row>1</xdr:row>
      <xdr:rowOff>55562</xdr:rowOff>
    </xdr:from>
    <xdr:to>
      <xdr:col>1</xdr:col>
      <xdr:colOff>515628</xdr:colOff>
      <xdr:row>2</xdr:row>
      <xdr:rowOff>125000</xdr:rowOff>
    </xdr:to>
    <xdr:sp macro="" textlink="">
      <xdr:nvSpPr>
        <xdr:cNvPr id="14" name="Pijl: rechts 24">
          <a:hlinkClick xmlns:r="http://schemas.openxmlformats.org/officeDocument/2006/relationships" r:id="rId2"/>
          <a:extLst>
            <a:ext uri="{FF2B5EF4-FFF2-40B4-BE49-F238E27FC236}">
              <a16:creationId xmlns:a16="http://schemas.microsoft.com/office/drawing/2014/main" id="{00000000-0008-0000-2800-00000E000000}"/>
            </a:ext>
          </a:extLst>
        </xdr:cNvPr>
        <xdr:cNvSpPr>
          <a:spLocks/>
        </xdr:cNvSpPr>
      </xdr:nvSpPr>
      <xdr:spPr>
        <a:xfrm flipH="1">
          <a:off x="238128" y="239712"/>
          <a:ext cx="468000" cy="253588"/>
        </a:xfrm>
        <a:prstGeom prst="rightArrow">
          <a:avLst/>
        </a:prstGeom>
      </xdr:spPr>
      <xdr:style>
        <a:lnRef idx="0">
          <a:schemeClr val="dk1"/>
        </a:lnRef>
        <a:fillRef idx="3">
          <a:schemeClr val="dk1"/>
        </a:fillRef>
        <a:effectRef idx="3">
          <a:schemeClr val="dk1"/>
        </a:effectRef>
        <a:fontRef idx="minor">
          <a:schemeClr val="lt1"/>
        </a:fontRef>
      </xdr:style>
      <xdr:txBody>
        <a:bodyPr vertOverflow="clip" horzOverflow="clip" rtlCol="0" anchor="t"/>
        <a:lstStyle/>
        <a:p>
          <a:pPr algn="l"/>
          <a:endParaRPr lang="nl-NL" sz="1100"/>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5</xdr:col>
      <xdr:colOff>18144</xdr:colOff>
      <xdr:row>9</xdr:row>
      <xdr:rowOff>9072</xdr:rowOff>
    </xdr:from>
    <xdr:to>
      <xdr:col>5</xdr:col>
      <xdr:colOff>187087</xdr:colOff>
      <xdr:row>9</xdr:row>
      <xdr:rowOff>178600</xdr:rowOff>
    </xdr:to>
    <xdr:pic>
      <xdr:nvPicPr>
        <xdr:cNvPr id="9" name="Afbeelding 8">
          <a:extLst>
            <a:ext uri="{FF2B5EF4-FFF2-40B4-BE49-F238E27FC236}">
              <a16:creationId xmlns:a16="http://schemas.microsoft.com/office/drawing/2014/main" id="{00000000-0008-0000-29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9994" y="929822"/>
          <a:ext cx="168943" cy="1695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18144</xdr:colOff>
      <xdr:row>10</xdr:row>
      <xdr:rowOff>9071</xdr:rowOff>
    </xdr:from>
    <xdr:to>
      <xdr:col>5</xdr:col>
      <xdr:colOff>187087</xdr:colOff>
      <xdr:row>10</xdr:row>
      <xdr:rowOff>178599</xdr:rowOff>
    </xdr:to>
    <xdr:pic>
      <xdr:nvPicPr>
        <xdr:cNvPr id="10" name="Afbeelding 9">
          <a:extLst>
            <a:ext uri="{FF2B5EF4-FFF2-40B4-BE49-F238E27FC236}">
              <a16:creationId xmlns:a16="http://schemas.microsoft.com/office/drawing/2014/main" id="{00000000-0008-0000-29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9994" y="1113971"/>
          <a:ext cx="168943" cy="1695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18143</xdr:colOff>
      <xdr:row>11</xdr:row>
      <xdr:rowOff>18143</xdr:rowOff>
    </xdr:from>
    <xdr:to>
      <xdr:col>5</xdr:col>
      <xdr:colOff>187086</xdr:colOff>
      <xdr:row>12</xdr:row>
      <xdr:rowOff>6243</xdr:rowOff>
    </xdr:to>
    <xdr:pic>
      <xdr:nvPicPr>
        <xdr:cNvPr id="11" name="Afbeelding 10">
          <a:extLst>
            <a:ext uri="{FF2B5EF4-FFF2-40B4-BE49-F238E27FC236}">
              <a16:creationId xmlns:a16="http://schemas.microsoft.com/office/drawing/2014/main" id="{00000000-0008-0000-29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9993" y="1307193"/>
          <a:ext cx="168943" cy="172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xdr:col>
          <xdr:colOff>0</xdr:colOff>
          <xdr:row>4</xdr:row>
          <xdr:rowOff>0</xdr:rowOff>
        </xdr:from>
        <xdr:to>
          <xdr:col>1</xdr:col>
          <xdr:colOff>2042160</xdr:colOff>
          <xdr:row>5</xdr:row>
          <xdr:rowOff>0</xdr:rowOff>
        </xdr:to>
        <xdr:sp macro="" textlink="">
          <xdr:nvSpPr>
            <xdr:cNvPr id="40961" name="Option Button 1" hidden="1">
              <a:extLst>
                <a:ext uri="{63B3BB69-23CF-44E3-9099-C40C66FF867C}">
                  <a14:compatExt spid="_x0000_s40961"/>
                </a:ext>
                <a:ext uri="{FF2B5EF4-FFF2-40B4-BE49-F238E27FC236}">
                  <a16:creationId xmlns:a16="http://schemas.microsoft.com/office/drawing/2014/main" id="{00000000-0008-0000-2900-00000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NL" sz="800" b="0" i="0" u="none" strike="noStrike" baseline="0">
                  <a:solidFill>
                    <a:srgbClr val="000000"/>
                  </a:solidFill>
                  <a:latin typeface="Segoe UI"/>
                  <a:cs typeface="Segoe UI"/>
                </a:rPr>
                <a:t>Gemiddelde gebruiken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0</xdr:rowOff>
        </xdr:to>
        <xdr:sp macro="" textlink="">
          <xdr:nvSpPr>
            <xdr:cNvPr id="40962" name="Option Button 2" hidden="1">
              <a:extLst>
                <a:ext uri="{63B3BB69-23CF-44E3-9099-C40C66FF867C}">
                  <a14:compatExt spid="_x0000_s40962"/>
                </a:ext>
                <a:ext uri="{FF2B5EF4-FFF2-40B4-BE49-F238E27FC236}">
                  <a16:creationId xmlns:a16="http://schemas.microsoft.com/office/drawing/2014/main" id="{00000000-0008-0000-2900-00000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NL" sz="800" b="0" i="0" u="none" strike="noStrike" baseline="0">
                  <a:solidFill>
                    <a:srgbClr val="000000"/>
                  </a:solidFill>
                  <a:latin typeface="Segoe UI"/>
                  <a:cs typeface="Segoe UI"/>
                </a:rPr>
                <a:t>Huidige invoer gebruiken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xdr:row>
          <xdr:rowOff>0</xdr:rowOff>
        </xdr:from>
        <xdr:to>
          <xdr:col>2</xdr:col>
          <xdr:colOff>0</xdr:colOff>
          <xdr:row>7</xdr:row>
          <xdr:rowOff>0</xdr:rowOff>
        </xdr:to>
        <xdr:sp macro="" textlink="">
          <xdr:nvSpPr>
            <xdr:cNvPr id="40963" name="Option Button 3" hidden="1">
              <a:extLst>
                <a:ext uri="{63B3BB69-23CF-44E3-9099-C40C66FF867C}">
                  <a14:compatExt spid="_x0000_s40963"/>
                </a:ext>
                <a:ext uri="{FF2B5EF4-FFF2-40B4-BE49-F238E27FC236}">
                  <a16:creationId xmlns:a16="http://schemas.microsoft.com/office/drawing/2014/main" id="{00000000-0008-0000-2900-00000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NL" sz="800" b="0" i="0" u="none" strike="noStrike" baseline="0">
                  <a:solidFill>
                    <a:srgbClr val="000000"/>
                  </a:solidFill>
                  <a:latin typeface="Segoe UI"/>
                  <a:cs typeface="Segoe UI"/>
                </a:rPr>
                <a:t>Eigen invoer gebruiken</a:t>
              </a:r>
            </a:p>
          </xdr:txBody>
        </xdr:sp>
        <xdr:clientData/>
      </xdr:twoCellAnchor>
    </mc:Choice>
    <mc:Fallback/>
  </mc:AlternateContent>
  <xdr:twoCellAnchor>
    <xdr:from>
      <xdr:col>5</xdr:col>
      <xdr:colOff>18144</xdr:colOff>
      <xdr:row>10</xdr:row>
      <xdr:rowOff>9071</xdr:rowOff>
    </xdr:from>
    <xdr:to>
      <xdr:col>5</xdr:col>
      <xdr:colOff>187087</xdr:colOff>
      <xdr:row>10</xdr:row>
      <xdr:rowOff>178599</xdr:rowOff>
    </xdr:to>
    <xdr:pic>
      <xdr:nvPicPr>
        <xdr:cNvPr id="6" name="Afbeelding 5">
          <a:extLst>
            <a:ext uri="{FF2B5EF4-FFF2-40B4-BE49-F238E27FC236}">
              <a16:creationId xmlns:a16="http://schemas.microsoft.com/office/drawing/2014/main" id="{00000000-0008-0000-29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9994" y="1126671"/>
          <a:ext cx="168943" cy="169528"/>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xdr:from>
      <xdr:col>5</xdr:col>
      <xdr:colOff>18144</xdr:colOff>
      <xdr:row>9</xdr:row>
      <xdr:rowOff>9072</xdr:rowOff>
    </xdr:from>
    <xdr:to>
      <xdr:col>5</xdr:col>
      <xdr:colOff>187087</xdr:colOff>
      <xdr:row>9</xdr:row>
      <xdr:rowOff>178600</xdr:rowOff>
    </xdr:to>
    <xdr:pic>
      <xdr:nvPicPr>
        <xdr:cNvPr id="7" name="Afbeelding 6">
          <a:extLst>
            <a:ext uri="{FF2B5EF4-FFF2-40B4-BE49-F238E27FC236}">
              <a16:creationId xmlns:a16="http://schemas.microsoft.com/office/drawing/2014/main" id="{00000000-0008-0000-29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9994" y="942522"/>
          <a:ext cx="168943" cy="169528"/>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xdr:from>
      <xdr:col>5</xdr:col>
      <xdr:colOff>18143</xdr:colOff>
      <xdr:row>11</xdr:row>
      <xdr:rowOff>18143</xdr:rowOff>
    </xdr:from>
    <xdr:to>
      <xdr:col>5</xdr:col>
      <xdr:colOff>187086</xdr:colOff>
      <xdr:row>12</xdr:row>
      <xdr:rowOff>6243</xdr:rowOff>
    </xdr:to>
    <xdr:pic>
      <xdr:nvPicPr>
        <xdr:cNvPr id="8" name="Afbeelding 7">
          <a:extLst>
            <a:ext uri="{FF2B5EF4-FFF2-40B4-BE49-F238E27FC236}">
              <a16:creationId xmlns:a16="http://schemas.microsoft.com/office/drawing/2014/main" id="{00000000-0008-0000-29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9993" y="1319893"/>
          <a:ext cx="168943" cy="17225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xdr:from>
      <xdr:col>1</xdr:col>
      <xdr:colOff>47628</xdr:colOff>
      <xdr:row>1</xdr:row>
      <xdr:rowOff>55562</xdr:rowOff>
    </xdr:from>
    <xdr:to>
      <xdr:col>1</xdr:col>
      <xdr:colOff>515628</xdr:colOff>
      <xdr:row>2</xdr:row>
      <xdr:rowOff>125000</xdr:rowOff>
    </xdr:to>
    <xdr:sp macro="" textlink="">
      <xdr:nvSpPr>
        <xdr:cNvPr id="14" name="Pijl: rechts 24">
          <a:hlinkClick xmlns:r="http://schemas.openxmlformats.org/officeDocument/2006/relationships" r:id="rId2"/>
          <a:extLst>
            <a:ext uri="{FF2B5EF4-FFF2-40B4-BE49-F238E27FC236}">
              <a16:creationId xmlns:a16="http://schemas.microsoft.com/office/drawing/2014/main" id="{00000000-0008-0000-2900-00000E000000}"/>
            </a:ext>
          </a:extLst>
        </xdr:cNvPr>
        <xdr:cNvSpPr>
          <a:spLocks/>
        </xdr:cNvSpPr>
      </xdr:nvSpPr>
      <xdr:spPr>
        <a:xfrm flipH="1">
          <a:off x="238128" y="239712"/>
          <a:ext cx="468000" cy="253588"/>
        </a:xfrm>
        <a:prstGeom prst="rightArrow">
          <a:avLst/>
        </a:prstGeom>
      </xdr:spPr>
      <xdr:style>
        <a:lnRef idx="0">
          <a:schemeClr val="dk1"/>
        </a:lnRef>
        <a:fillRef idx="3">
          <a:schemeClr val="dk1"/>
        </a:fillRef>
        <a:effectRef idx="3">
          <a:schemeClr val="dk1"/>
        </a:effectRef>
        <a:fontRef idx="minor">
          <a:schemeClr val="lt1"/>
        </a:fontRef>
      </xdr:style>
      <xdr:txBody>
        <a:bodyPr vertOverflow="clip" horzOverflow="clip" rtlCol="0" anchor="t"/>
        <a:lstStyle/>
        <a:p>
          <a:pPr algn="l"/>
          <a:endParaRPr lang="nl-NL" sz="1100"/>
        </a:p>
      </xdr:txBody>
    </xdr:sp>
    <xdr:clientData/>
  </xdr:twoCellAnchor>
</xdr:wsDr>
</file>

<file path=xl/drawings/drawing43.xml><?xml version="1.0" encoding="utf-8"?>
<xdr:wsDr xmlns:xdr="http://schemas.openxmlformats.org/drawingml/2006/spreadsheetDrawing" xmlns:a="http://schemas.openxmlformats.org/drawingml/2006/main">
  <xdr:twoCellAnchor>
    <xdr:from>
      <xdr:col>1</xdr:col>
      <xdr:colOff>47628</xdr:colOff>
      <xdr:row>1</xdr:row>
      <xdr:rowOff>55562</xdr:rowOff>
    </xdr:from>
    <xdr:to>
      <xdr:col>1</xdr:col>
      <xdr:colOff>515628</xdr:colOff>
      <xdr:row>2</xdr:row>
      <xdr:rowOff>125000</xdr:rowOff>
    </xdr:to>
    <xdr:sp macro="" textlink="">
      <xdr:nvSpPr>
        <xdr:cNvPr id="2" name="Pijl: rechts 24">
          <a:hlinkClick xmlns:r="http://schemas.openxmlformats.org/officeDocument/2006/relationships" r:id="rId1"/>
          <a:extLst>
            <a:ext uri="{FF2B5EF4-FFF2-40B4-BE49-F238E27FC236}">
              <a16:creationId xmlns:a16="http://schemas.microsoft.com/office/drawing/2014/main" id="{00000000-0008-0000-2A00-000002000000}"/>
            </a:ext>
          </a:extLst>
        </xdr:cNvPr>
        <xdr:cNvSpPr>
          <a:spLocks/>
        </xdr:cNvSpPr>
      </xdr:nvSpPr>
      <xdr:spPr>
        <a:xfrm flipH="1">
          <a:off x="238128" y="239712"/>
          <a:ext cx="468000" cy="253588"/>
        </a:xfrm>
        <a:prstGeom prst="rightArrow">
          <a:avLst/>
        </a:prstGeom>
      </xdr:spPr>
      <xdr:style>
        <a:lnRef idx="0">
          <a:schemeClr val="dk1"/>
        </a:lnRef>
        <a:fillRef idx="3">
          <a:schemeClr val="dk1"/>
        </a:fillRef>
        <a:effectRef idx="3">
          <a:schemeClr val="dk1"/>
        </a:effectRef>
        <a:fontRef idx="minor">
          <a:schemeClr val="lt1"/>
        </a:fontRef>
      </xdr:style>
      <xdr:txBody>
        <a:bodyPr vertOverflow="clip" horzOverflow="clip" rtlCol="0" anchor="t"/>
        <a:lstStyle/>
        <a:p>
          <a:pPr algn="l"/>
          <a:endParaRPr lang="nl-NL" sz="1100"/>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xdr:colOff>
          <xdr:row>21</xdr:row>
          <xdr:rowOff>7620</xdr:rowOff>
        </xdr:from>
        <xdr:to>
          <xdr:col>2</xdr:col>
          <xdr:colOff>876300</xdr:colOff>
          <xdr:row>22</xdr:row>
          <xdr:rowOff>7620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400-00002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NL" sz="800" b="0" i="0" u="none" strike="noStrike" baseline="0">
                  <a:solidFill>
                    <a:srgbClr val="000000"/>
                  </a:solidFill>
                  <a:latin typeface="Segoe UI"/>
                  <a:cs typeface="Segoe UI"/>
                </a:rPr>
                <a:t> Biologisch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2</xdr:col>
          <xdr:colOff>868680</xdr:colOff>
          <xdr:row>18</xdr:row>
          <xdr:rowOff>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400-00002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NL" sz="800" b="0" i="0" u="none" strike="noStrike" baseline="0">
                  <a:solidFill>
                    <a:srgbClr val="000000"/>
                  </a:solidFill>
                  <a:latin typeface="Segoe UI"/>
                  <a:cs typeface="Segoe UI"/>
                </a:rPr>
                <a:t> Gangbaar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22</xdr:row>
          <xdr:rowOff>7620</xdr:rowOff>
        </xdr:from>
        <xdr:to>
          <xdr:col>2</xdr:col>
          <xdr:colOff>1264920</xdr:colOff>
          <xdr:row>23</xdr:row>
          <xdr:rowOff>7620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400-00002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NL" sz="800" b="0" i="0" u="none" strike="noStrike" baseline="0">
                  <a:solidFill>
                    <a:srgbClr val="000000"/>
                  </a:solidFill>
                  <a:latin typeface="Segoe UI"/>
                  <a:cs typeface="Segoe UI"/>
                </a:rPr>
                <a:t> Biologisch dynamisch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7620</xdr:rowOff>
        </xdr:from>
        <xdr:to>
          <xdr:col>2</xdr:col>
          <xdr:colOff>868680</xdr:colOff>
          <xdr:row>20</xdr:row>
          <xdr:rowOff>7620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400-00002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NL" sz="800" b="0" i="0" u="none" strike="noStrike" baseline="0">
                  <a:solidFill>
                    <a:srgbClr val="000000"/>
                  </a:solidFill>
                  <a:latin typeface="Segoe UI"/>
                  <a:cs typeface="Segoe UI"/>
                </a:rPr>
                <a:t> Weidegang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0</xdr:rowOff>
        </xdr:from>
        <xdr:to>
          <xdr:col>2</xdr:col>
          <xdr:colOff>1104900</xdr:colOff>
          <xdr:row>19</xdr:row>
          <xdr:rowOff>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400-00002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NL" sz="800" b="0" i="0" u="none" strike="noStrike" baseline="0">
                  <a:solidFill>
                    <a:srgbClr val="000000"/>
                  </a:solidFill>
                  <a:latin typeface="Segoe UI"/>
                  <a:cs typeface="Segoe UI"/>
                </a:rPr>
                <a:t> Deel-weidegang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7620</xdr:rowOff>
        </xdr:from>
        <xdr:to>
          <xdr:col>2</xdr:col>
          <xdr:colOff>1569720</xdr:colOff>
          <xdr:row>21</xdr:row>
          <xdr:rowOff>7620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400-00002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NL" sz="800" b="0" i="0" u="none" strike="noStrike" baseline="0">
                  <a:solidFill>
                    <a:srgbClr val="000000"/>
                  </a:solidFill>
                  <a:latin typeface="Segoe UI"/>
                  <a:cs typeface="Segoe UI"/>
                </a:rPr>
                <a:t> Planet Proof (+ weidegang)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23</xdr:row>
          <xdr:rowOff>7620</xdr:rowOff>
        </xdr:from>
        <xdr:to>
          <xdr:col>2</xdr:col>
          <xdr:colOff>1074420</xdr:colOff>
          <xdr:row>24</xdr:row>
          <xdr:rowOff>7620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400-00002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NL" sz="800" b="0" i="0" u="none" strike="noStrike" baseline="0">
                  <a:solidFill>
                    <a:srgbClr val="000000"/>
                  </a:solidFill>
                  <a:latin typeface="Segoe UI"/>
                  <a:cs typeface="Segoe UI"/>
                </a:rPr>
                <a:t> Andere premie: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21</xdr:row>
          <xdr:rowOff>7620</xdr:rowOff>
        </xdr:from>
        <xdr:to>
          <xdr:col>5</xdr:col>
          <xdr:colOff>868680</xdr:colOff>
          <xdr:row>22</xdr:row>
          <xdr:rowOff>7620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400-00002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NL" sz="800" b="0" i="0" u="none" strike="noStrike" baseline="0">
                  <a:solidFill>
                    <a:srgbClr val="000000"/>
                  </a:solidFill>
                  <a:latin typeface="Segoe UI"/>
                  <a:cs typeface="Segoe UI"/>
                </a:rPr>
                <a:t> Biologisch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17</xdr:row>
          <xdr:rowOff>0</xdr:rowOff>
        </xdr:from>
        <xdr:to>
          <xdr:col>5</xdr:col>
          <xdr:colOff>876300</xdr:colOff>
          <xdr:row>18</xdr:row>
          <xdr:rowOff>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400-00002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NL" sz="800" b="0" i="0" u="none" strike="noStrike" baseline="0">
                  <a:solidFill>
                    <a:srgbClr val="000000"/>
                  </a:solidFill>
                  <a:latin typeface="Segoe UI"/>
                  <a:cs typeface="Segoe UI"/>
                </a:rPr>
                <a:t> Gangbaar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22</xdr:row>
          <xdr:rowOff>7620</xdr:rowOff>
        </xdr:from>
        <xdr:to>
          <xdr:col>5</xdr:col>
          <xdr:colOff>1264920</xdr:colOff>
          <xdr:row>23</xdr:row>
          <xdr:rowOff>7620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400-00002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NL" sz="800" b="0" i="0" u="none" strike="noStrike" baseline="0">
                  <a:solidFill>
                    <a:srgbClr val="000000"/>
                  </a:solidFill>
                  <a:latin typeface="Segoe UI"/>
                  <a:cs typeface="Segoe UI"/>
                </a:rPr>
                <a:t> Biologisch dynamisch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19</xdr:row>
          <xdr:rowOff>7620</xdr:rowOff>
        </xdr:from>
        <xdr:to>
          <xdr:col>5</xdr:col>
          <xdr:colOff>876300</xdr:colOff>
          <xdr:row>20</xdr:row>
          <xdr:rowOff>7620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400-00002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NL" sz="800" b="0" i="0" u="none" strike="noStrike" baseline="0">
                  <a:solidFill>
                    <a:srgbClr val="000000"/>
                  </a:solidFill>
                  <a:latin typeface="Segoe UI"/>
                  <a:cs typeface="Segoe UI"/>
                </a:rPr>
                <a:t> Weidegang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18</xdr:row>
          <xdr:rowOff>0</xdr:rowOff>
        </xdr:from>
        <xdr:to>
          <xdr:col>5</xdr:col>
          <xdr:colOff>1112520</xdr:colOff>
          <xdr:row>19</xdr:row>
          <xdr:rowOff>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400-00002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NL" sz="800" b="0" i="0" u="none" strike="noStrike" baseline="0">
                  <a:solidFill>
                    <a:srgbClr val="000000"/>
                  </a:solidFill>
                  <a:latin typeface="Segoe UI"/>
                  <a:cs typeface="Segoe UI"/>
                </a:rPr>
                <a:t> Deel-weidegang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20</xdr:row>
          <xdr:rowOff>7620</xdr:rowOff>
        </xdr:from>
        <xdr:to>
          <xdr:col>5</xdr:col>
          <xdr:colOff>1577340</xdr:colOff>
          <xdr:row>21</xdr:row>
          <xdr:rowOff>7620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400-00003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NL" sz="800" b="0" i="0" u="none" strike="noStrike" baseline="0">
                  <a:solidFill>
                    <a:srgbClr val="000000"/>
                  </a:solidFill>
                  <a:latin typeface="Segoe UI"/>
                  <a:cs typeface="Segoe UI"/>
                </a:rPr>
                <a:t> Planet Proof (+ weidegang)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23</xdr:row>
          <xdr:rowOff>7620</xdr:rowOff>
        </xdr:from>
        <xdr:to>
          <xdr:col>5</xdr:col>
          <xdr:colOff>1082040</xdr:colOff>
          <xdr:row>24</xdr:row>
          <xdr:rowOff>7620</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400-00003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NL" sz="800" b="0" i="0" u="none" strike="noStrike" baseline="0">
                  <a:solidFill>
                    <a:srgbClr val="000000"/>
                  </a:solidFill>
                  <a:latin typeface="Segoe UI"/>
                  <a:cs typeface="Segoe UI"/>
                </a:rPr>
                <a:t> Andere premie:</a:t>
              </a:r>
            </a:p>
          </xdr:txBody>
        </xdr:sp>
        <xdr:clientData/>
      </xdr:twoCellAnchor>
    </mc:Choice>
    <mc:Fallback/>
  </mc:AlternateContent>
  <xdr:twoCellAnchor>
    <xdr:from>
      <xdr:col>7</xdr:col>
      <xdr:colOff>126156</xdr:colOff>
      <xdr:row>3</xdr:row>
      <xdr:rowOff>18147</xdr:rowOff>
    </xdr:from>
    <xdr:to>
      <xdr:col>7</xdr:col>
      <xdr:colOff>126156</xdr:colOff>
      <xdr:row>4</xdr:row>
      <xdr:rowOff>160719</xdr:rowOff>
    </xdr:to>
    <xdr:grpSp>
      <xdr:nvGrpSpPr>
        <xdr:cNvPr id="67" name="Graphic 11" descr="Schuur met effen opvulling">
          <a:hlinkClick xmlns:r="http://schemas.openxmlformats.org/officeDocument/2006/relationships" r:id="rId1"/>
          <a:extLst>
            <a:ext uri="{FF2B5EF4-FFF2-40B4-BE49-F238E27FC236}">
              <a16:creationId xmlns:a16="http://schemas.microsoft.com/office/drawing/2014/main" id="{00000000-0008-0000-0400-000043000000}"/>
            </a:ext>
          </a:extLst>
        </xdr:cNvPr>
        <xdr:cNvGrpSpPr>
          <a:grpSpLocks/>
        </xdr:cNvGrpSpPr>
      </xdr:nvGrpSpPr>
      <xdr:grpSpPr>
        <a:xfrm>
          <a:off x="7652811" y="561072"/>
          <a:ext cx="0" cy="323547"/>
          <a:chOff x="1874992" y="70875"/>
          <a:chExt cx="580430" cy="506924"/>
        </a:xfrm>
        <a:solidFill>
          <a:srgbClr val="000000"/>
        </a:solidFill>
      </xdr:grpSpPr>
      <xdr:sp macro="" textlink="">
        <xdr:nvSpPr>
          <xdr:cNvPr id="68" name="Vrije vorm: vorm 6">
            <a:extLst>
              <a:ext uri="{FF2B5EF4-FFF2-40B4-BE49-F238E27FC236}">
                <a16:creationId xmlns:a16="http://schemas.microsoft.com/office/drawing/2014/main" id="{00000000-0008-0000-0400-000044000000}"/>
              </a:ext>
            </a:extLst>
          </xdr:cNvPr>
          <xdr:cNvSpPr/>
        </xdr:nvSpPr>
        <xdr:spPr>
          <a:xfrm>
            <a:off x="1874992" y="70875"/>
            <a:ext cx="580430" cy="311174"/>
          </a:xfrm>
          <a:custGeom>
            <a:avLst/>
            <a:gdLst>
              <a:gd name="connsiteX0" fmla="*/ 567257 w 580430"/>
              <a:gd name="connsiteY0" fmla="*/ 311175 h 311174"/>
              <a:gd name="connsiteX1" fmla="*/ 555107 w 580430"/>
              <a:gd name="connsiteY1" fmla="*/ 303075 h 311174"/>
              <a:gd name="connsiteX2" fmla="*/ 470057 w 580430"/>
              <a:gd name="connsiteY2" fmla="*/ 102600 h 311174"/>
              <a:gd name="connsiteX3" fmla="*/ 289832 w 580430"/>
              <a:gd name="connsiteY3" fmla="*/ 28350 h 311174"/>
              <a:gd name="connsiteX4" fmla="*/ 109607 w 580430"/>
              <a:gd name="connsiteY4" fmla="*/ 102600 h 311174"/>
              <a:gd name="connsiteX5" fmla="*/ 25907 w 580430"/>
              <a:gd name="connsiteY5" fmla="*/ 301050 h 311174"/>
              <a:gd name="connsiteX6" fmla="*/ 8357 w 580430"/>
              <a:gd name="connsiteY6" fmla="*/ 308475 h 311174"/>
              <a:gd name="connsiteX7" fmla="*/ 932 w 580430"/>
              <a:gd name="connsiteY7" fmla="*/ 290925 h 311174"/>
              <a:gd name="connsiteX8" fmla="*/ 88007 w 580430"/>
              <a:gd name="connsiteY8" fmla="*/ 83025 h 311174"/>
              <a:gd name="connsiteX9" fmla="*/ 289157 w 580430"/>
              <a:gd name="connsiteY9" fmla="*/ 0 h 311174"/>
              <a:gd name="connsiteX10" fmla="*/ 490307 w 580430"/>
              <a:gd name="connsiteY10" fmla="*/ 83025 h 311174"/>
              <a:gd name="connsiteX11" fmla="*/ 579407 w 580430"/>
              <a:gd name="connsiteY11" fmla="*/ 292950 h 311174"/>
              <a:gd name="connsiteX12" fmla="*/ 571982 w 580430"/>
              <a:gd name="connsiteY12" fmla="*/ 310500 h 311174"/>
              <a:gd name="connsiteX13" fmla="*/ 567257 w 580430"/>
              <a:gd name="connsiteY13" fmla="*/ 311175 h 3111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580430" h="311174">
                <a:moveTo>
                  <a:pt x="567257" y="311175"/>
                </a:moveTo>
                <a:cubicBezTo>
                  <a:pt x="561857" y="311175"/>
                  <a:pt x="557132" y="307800"/>
                  <a:pt x="555107" y="303075"/>
                </a:cubicBezTo>
                <a:lnTo>
                  <a:pt x="470057" y="102600"/>
                </a:lnTo>
                <a:lnTo>
                  <a:pt x="289832" y="28350"/>
                </a:lnTo>
                <a:lnTo>
                  <a:pt x="109607" y="102600"/>
                </a:lnTo>
                <a:lnTo>
                  <a:pt x="25907" y="301050"/>
                </a:lnTo>
                <a:cubicBezTo>
                  <a:pt x="23207" y="307800"/>
                  <a:pt x="15107" y="311175"/>
                  <a:pt x="8357" y="308475"/>
                </a:cubicBezTo>
                <a:cubicBezTo>
                  <a:pt x="1607" y="305775"/>
                  <a:pt x="-1768" y="297675"/>
                  <a:pt x="932" y="290925"/>
                </a:cubicBezTo>
                <a:lnTo>
                  <a:pt x="88007" y="83025"/>
                </a:lnTo>
                <a:lnTo>
                  <a:pt x="289157" y="0"/>
                </a:lnTo>
                <a:lnTo>
                  <a:pt x="490307" y="83025"/>
                </a:lnTo>
                <a:lnTo>
                  <a:pt x="579407" y="292950"/>
                </a:lnTo>
                <a:cubicBezTo>
                  <a:pt x="582107" y="299700"/>
                  <a:pt x="579407" y="307800"/>
                  <a:pt x="571982" y="310500"/>
                </a:cubicBezTo>
                <a:cubicBezTo>
                  <a:pt x="570632" y="310500"/>
                  <a:pt x="569282" y="311175"/>
                  <a:pt x="567257" y="311175"/>
                </a:cubicBezTo>
                <a:close/>
              </a:path>
            </a:pathLst>
          </a:custGeom>
          <a:ln/>
        </xdr:spPr>
        <xdr:style>
          <a:lnRef idx="0">
            <a:schemeClr val="dk1"/>
          </a:lnRef>
          <a:fillRef idx="3">
            <a:schemeClr val="dk1"/>
          </a:fillRef>
          <a:effectRef idx="3">
            <a:schemeClr val="dk1"/>
          </a:effectRef>
          <a:fontRef idx="minor">
            <a:schemeClr val="lt1"/>
          </a:fontRef>
        </xdr:style>
        <xdr:txBody>
          <a:bodyPr rtlCol="0" anchor="ctr"/>
          <a:lstStyle/>
          <a:p>
            <a:endParaRPr lang="nl-NL"/>
          </a:p>
        </xdr:txBody>
      </xdr:sp>
      <xdr:grpSp>
        <xdr:nvGrpSpPr>
          <xdr:cNvPr id="69" name="Graphic 11" descr="Schuur met effen opvulling">
            <a:extLst>
              <a:ext uri="{FF2B5EF4-FFF2-40B4-BE49-F238E27FC236}">
                <a16:creationId xmlns:a16="http://schemas.microsoft.com/office/drawing/2014/main" id="{00000000-0008-0000-0400-000045000000}"/>
              </a:ext>
            </a:extLst>
          </xdr:cNvPr>
          <xdr:cNvGrpSpPr/>
        </xdr:nvGrpSpPr>
        <xdr:grpSpPr>
          <a:xfrm>
            <a:off x="2023750" y="415799"/>
            <a:ext cx="283500" cy="162000"/>
            <a:chOff x="2023750" y="415799"/>
            <a:chExt cx="283500" cy="162000"/>
          </a:xfrm>
          <a:solidFill>
            <a:srgbClr val="000000"/>
          </a:solidFill>
        </xdr:grpSpPr>
        <xdr:sp macro="" textlink="">
          <xdr:nvSpPr>
            <xdr:cNvPr id="73" name="Vrije vorm: vorm 11">
              <a:extLst>
                <a:ext uri="{FF2B5EF4-FFF2-40B4-BE49-F238E27FC236}">
                  <a16:creationId xmlns:a16="http://schemas.microsoft.com/office/drawing/2014/main" id="{00000000-0008-0000-0400-000049000000}"/>
                </a:ext>
              </a:extLst>
            </xdr:cNvPr>
            <xdr:cNvSpPr/>
          </xdr:nvSpPr>
          <xdr:spPr>
            <a:xfrm>
              <a:off x="2058174" y="512325"/>
              <a:ext cx="214650" cy="65474"/>
            </a:xfrm>
            <a:custGeom>
              <a:avLst/>
              <a:gdLst>
                <a:gd name="connsiteX0" fmla="*/ 107325 w 214650"/>
                <a:gd name="connsiteY0" fmla="*/ 0 h 65474"/>
                <a:gd name="connsiteX1" fmla="*/ 0 w 214650"/>
                <a:gd name="connsiteY1" fmla="*/ 65475 h 65474"/>
                <a:gd name="connsiteX2" fmla="*/ 214650 w 214650"/>
                <a:gd name="connsiteY2" fmla="*/ 65475 h 65474"/>
              </a:gdLst>
              <a:ahLst/>
              <a:cxnLst>
                <a:cxn ang="0">
                  <a:pos x="connsiteX0" y="connsiteY0"/>
                </a:cxn>
                <a:cxn ang="0">
                  <a:pos x="connsiteX1" y="connsiteY1"/>
                </a:cxn>
                <a:cxn ang="0">
                  <a:pos x="connsiteX2" y="connsiteY2"/>
                </a:cxn>
              </a:cxnLst>
              <a:rect l="l" t="t" r="r" b="b"/>
              <a:pathLst>
                <a:path w="214650" h="65474">
                  <a:moveTo>
                    <a:pt x="107325" y="0"/>
                  </a:moveTo>
                  <a:lnTo>
                    <a:pt x="0" y="65475"/>
                  </a:lnTo>
                  <a:lnTo>
                    <a:pt x="214650" y="65475"/>
                  </a:lnTo>
                  <a:close/>
                </a:path>
              </a:pathLst>
            </a:custGeom>
            <a:ln/>
          </xdr:spPr>
          <xdr:style>
            <a:lnRef idx="0">
              <a:schemeClr val="dk1"/>
            </a:lnRef>
            <a:fillRef idx="3">
              <a:schemeClr val="dk1"/>
            </a:fillRef>
            <a:effectRef idx="3">
              <a:schemeClr val="dk1"/>
            </a:effectRef>
            <a:fontRef idx="minor">
              <a:schemeClr val="lt1"/>
            </a:fontRef>
          </xdr:style>
          <xdr:txBody>
            <a:bodyPr rtlCol="0" anchor="ctr"/>
            <a:lstStyle/>
            <a:p>
              <a:endParaRPr lang="nl-NL"/>
            </a:p>
          </xdr:txBody>
        </xdr:sp>
        <xdr:sp macro="" textlink="">
          <xdr:nvSpPr>
            <xdr:cNvPr id="74" name="Vrije vorm: vorm 12">
              <a:extLst>
                <a:ext uri="{FF2B5EF4-FFF2-40B4-BE49-F238E27FC236}">
                  <a16:creationId xmlns:a16="http://schemas.microsoft.com/office/drawing/2014/main" id="{00000000-0008-0000-0400-00004A000000}"/>
                </a:ext>
              </a:extLst>
            </xdr:cNvPr>
            <xdr:cNvSpPr/>
          </xdr:nvSpPr>
          <xdr:spPr>
            <a:xfrm>
              <a:off x="2023750" y="425924"/>
              <a:ext cx="116100" cy="141075"/>
            </a:xfrm>
            <a:custGeom>
              <a:avLst/>
              <a:gdLst>
                <a:gd name="connsiteX0" fmla="*/ 0 w 116100"/>
                <a:gd name="connsiteY0" fmla="*/ 141075 h 141075"/>
                <a:gd name="connsiteX1" fmla="*/ 116100 w 116100"/>
                <a:gd name="connsiteY1" fmla="*/ 70875 h 141075"/>
                <a:gd name="connsiteX2" fmla="*/ 0 w 116100"/>
                <a:gd name="connsiteY2" fmla="*/ 0 h 141075"/>
              </a:gdLst>
              <a:ahLst/>
              <a:cxnLst>
                <a:cxn ang="0">
                  <a:pos x="connsiteX0" y="connsiteY0"/>
                </a:cxn>
                <a:cxn ang="0">
                  <a:pos x="connsiteX1" y="connsiteY1"/>
                </a:cxn>
                <a:cxn ang="0">
                  <a:pos x="connsiteX2" y="connsiteY2"/>
                </a:cxn>
              </a:cxnLst>
              <a:rect l="l" t="t" r="r" b="b"/>
              <a:pathLst>
                <a:path w="116100" h="141075">
                  <a:moveTo>
                    <a:pt x="0" y="141075"/>
                  </a:moveTo>
                  <a:lnTo>
                    <a:pt x="116100" y="70875"/>
                  </a:lnTo>
                  <a:lnTo>
                    <a:pt x="0" y="0"/>
                  </a:lnTo>
                  <a:close/>
                </a:path>
              </a:pathLst>
            </a:custGeom>
            <a:ln/>
          </xdr:spPr>
          <xdr:style>
            <a:lnRef idx="0">
              <a:schemeClr val="dk1"/>
            </a:lnRef>
            <a:fillRef idx="3">
              <a:schemeClr val="dk1"/>
            </a:fillRef>
            <a:effectRef idx="3">
              <a:schemeClr val="dk1"/>
            </a:effectRef>
            <a:fontRef idx="minor">
              <a:schemeClr val="lt1"/>
            </a:fontRef>
          </xdr:style>
          <xdr:txBody>
            <a:bodyPr rtlCol="0" anchor="ctr"/>
            <a:lstStyle/>
            <a:p>
              <a:endParaRPr lang="nl-NL"/>
            </a:p>
          </xdr:txBody>
        </xdr:sp>
        <xdr:sp macro="" textlink="">
          <xdr:nvSpPr>
            <xdr:cNvPr id="75" name="Vrije vorm: vorm 13">
              <a:extLst>
                <a:ext uri="{FF2B5EF4-FFF2-40B4-BE49-F238E27FC236}">
                  <a16:creationId xmlns:a16="http://schemas.microsoft.com/office/drawing/2014/main" id="{00000000-0008-0000-0400-00004B000000}"/>
                </a:ext>
              </a:extLst>
            </xdr:cNvPr>
            <xdr:cNvSpPr/>
          </xdr:nvSpPr>
          <xdr:spPr>
            <a:xfrm>
              <a:off x="2058174" y="415799"/>
              <a:ext cx="214650" cy="64799"/>
            </a:xfrm>
            <a:custGeom>
              <a:avLst/>
              <a:gdLst>
                <a:gd name="connsiteX0" fmla="*/ 0 w 214650"/>
                <a:gd name="connsiteY0" fmla="*/ 0 h 64799"/>
                <a:gd name="connsiteX1" fmla="*/ 107325 w 214650"/>
                <a:gd name="connsiteY1" fmla="*/ 64800 h 64799"/>
                <a:gd name="connsiteX2" fmla="*/ 214650 w 214650"/>
                <a:gd name="connsiteY2" fmla="*/ 0 h 64799"/>
              </a:gdLst>
              <a:ahLst/>
              <a:cxnLst>
                <a:cxn ang="0">
                  <a:pos x="connsiteX0" y="connsiteY0"/>
                </a:cxn>
                <a:cxn ang="0">
                  <a:pos x="connsiteX1" y="connsiteY1"/>
                </a:cxn>
                <a:cxn ang="0">
                  <a:pos x="connsiteX2" y="connsiteY2"/>
                </a:cxn>
              </a:cxnLst>
              <a:rect l="l" t="t" r="r" b="b"/>
              <a:pathLst>
                <a:path w="214650" h="64799">
                  <a:moveTo>
                    <a:pt x="0" y="0"/>
                  </a:moveTo>
                  <a:lnTo>
                    <a:pt x="107325" y="64800"/>
                  </a:lnTo>
                  <a:lnTo>
                    <a:pt x="214650" y="0"/>
                  </a:lnTo>
                  <a:close/>
                </a:path>
              </a:pathLst>
            </a:custGeom>
            <a:ln/>
          </xdr:spPr>
          <xdr:style>
            <a:lnRef idx="0">
              <a:schemeClr val="dk1"/>
            </a:lnRef>
            <a:fillRef idx="3">
              <a:schemeClr val="dk1"/>
            </a:fillRef>
            <a:effectRef idx="3">
              <a:schemeClr val="dk1"/>
            </a:effectRef>
            <a:fontRef idx="minor">
              <a:schemeClr val="lt1"/>
            </a:fontRef>
          </xdr:style>
          <xdr:txBody>
            <a:bodyPr rtlCol="0" anchor="ctr"/>
            <a:lstStyle/>
            <a:p>
              <a:endParaRPr lang="nl-NL"/>
            </a:p>
          </xdr:txBody>
        </xdr:sp>
        <xdr:sp macro="" textlink="">
          <xdr:nvSpPr>
            <xdr:cNvPr id="76" name="Vrije vorm: vorm 14">
              <a:extLst>
                <a:ext uri="{FF2B5EF4-FFF2-40B4-BE49-F238E27FC236}">
                  <a16:creationId xmlns:a16="http://schemas.microsoft.com/office/drawing/2014/main" id="{00000000-0008-0000-0400-00004C000000}"/>
                </a:ext>
              </a:extLst>
            </xdr:cNvPr>
            <xdr:cNvSpPr/>
          </xdr:nvSpPr>
          <xdr:spPr>
            <a:xfrm>
              <a:off x="2191149" y="425924"/>
              <a:ext cx="116100" cy="141075"/>
            </a:xfrm>
            <a:custGeom>
              <a:avLst/>
              <a:gdLst>
                <a:gd name="connsiteX0" fmla="*/ 116100 w 116100"/>
                <a:gd name="connsiteY0" fmla="*/ 141075 h 141075"/>
                <a:gd name="connsiteX1" fmla="*/ 116100 w 116100"/>
                <a:gd name="connsiteY1" fmla="*/ 0 h 141075"/>
                <a:gd name="connsiteX2" fmla="*/ 0 w 116100"/>
                <a:gd name="connsiteY2" fmla="*/ 70875 h 141075"/>
              </a:gdLst>
              <a:ahLst/>
              <a:cxnLst>
                <a:cxn ang="0">
                  <a:pos x="connsiteX0" y="connsiteY0"/>
                </a:cxn>
                <a:cxn ang="0">
                  <a:pos x="connsiteX1" y="connsiteY1"/>
                </a:cxn>
                <a:cxn ang="0">
                  <a:pos x="connsiteX2" y="connsiteY2"/>
                </a:cxn>
              </a:cxnLst>
              <a:rect l="l" t="t" r="r" b="b"/>
              <a:pathLst>
                <a:path w="116100" h="141075">
                  <a:moveTo>
                    <a:pt x="116100" y="141075"/>
                  </a:moveTo>
                  <a:lnTo>
                    <a:pt x="116100" y="0"/>
                  </a:lnTo>
                  <a:lnTo>
                    <a:pt x="0" y="70875"/>
                  </a:lnTo>
                  <a:close/>
                </a:path>
              </a:pathLst>
            </a:custGeom>
            <a:ln/>
          </xdr:spPr>
          <xdr:style>
            <a:lnRef idx="0">
              <a:schemeClr val="dk1"/>
            </a:lnRef>
            <a:fillRef idx="3">
              <a:schemeClr val="dk1"/>
            </a:fillRef>
            <a:effectRef idx="3">
              <a:schemeClr val="dk1"/>
            </a:effectRef>
            <a:fontRef idx="minor">
              <a:schemeClr val="lt1"/>
            </a:fontRef>
          </xdr:style>
          <xdr:txBody>
            <a:bodyPr rtlCol="0" anchor="ctr"/>
            <a:lstStyle/>
            <a:p>
              <a:endParaRPr lang="nl-NL"/>
            </a:p>
          </xdr:txBody>
        </xdr:sp>
      </xdr:grpSp>
      <xdr:grpSp>
        <xdr:nvGrpSpPr>
          <xdr:cNvPr id="70" name="Graphic 11" descr="Schuur met effen opvulling">
            <a:extLst>
              <a:ext uri="{FF2B5EF4-FFF2-40B4-BE49-F238E27FC236}">
                <a16:creationId xmlns:a16="http://schemas.microsoft.com/office/drawing/2014/main" id="{00000000-0008-0000-0400-000046000000}"/>
              </a:ext>
            </a:extLst>
          </xdr:cNvPr>
          <xdr:cNvGrpSpPr/>
        </xdr:nvGrpSpPr>
        <xdr:grpSpPr>
          <a:xfrm>
            <a:off x="1929925" y="118800"/>
            <a:ext cx="472499" cy="458999"/>
            <a:chOff x="1929925" y="118800"/>
            <a:chExt cx="472499" cy="458999"/>
          </a:xfrm>
          <a:solidFill>
            <a:srgbClr val="000000"/>
          </a:solidFill>
        </xdr:grpSpPr>
        <xdr:sp macro="" textlink="">
          <xdr:nvSpPr>
            <xdr:cNvPr id="71" name="Vrije vorm: vorm 9">
              <a:extLst>
                <a:ext uri="{FF2B5EF4-FFF2-40B4-BE49-F238E27FC236}">
                  <a16:creationId xmlns:a16="http://schemas.microsoft.com/office/drawing/2014/main" id="{00000000-0008-0000-0400-000047000000}"/>
                </a:ext>
              </a:extLst>
            </xdr:cNvPr>
            <xdr:cNvSpPr/>
          </xdr:nvSpPr>
          <xdr:spPr>
            <a:xfrm>
              <a:off x="2098000" y="230175"/>
              <a:ext cx="135000" cy="81000"/>
            </a:xfrm>
            <a:custGeom>
              <a:avLst/>
              <a:gdLst>
                <a:gd name="connsiteX0" fmla="*/ 0 w 135000"/>
                <a:gd name="connsiteY0" fmla="*/ 0 h 81000"/>
                <a:gd name="connsiteX1" fmla="*/ 135000 w 135000"/>
                <a:gd name="connsiteY1" fmla="*/ 0 h 81000"/>
                <a:gd name="connsiteX2" fmla="*/ 135000 w 135000"/>
                <a:gd name="connsiteY2" fmla="*/ 81000 h 81000"/>
                <a:gd name="connsiteX3" fmla="*/ 0 w 135000"/>
                <a:gd name="connsiteY3" fmla="*/ 81000 h 81000"/>
              </a:gdLst>
              <a:ahLst/>
              <a:cxnLst>
                <a:cxn ang="0">
                  <a:pos x="connsiteX0" y="connsiteY0"/>
                </a:cxn>
                <a:cxn ang="0">
                  <a:pos x="connsiteX1" y="connsiteY1"/>
                </a:cxn>
                <a:cxn ang="0">
                  <a:pos x="connsiteX2" y="connsiteY2"/>
                </a:cxn>
                <a:cxn ang="0">
                  <a:pos x="connsiteX3" y="connsiteY3"/>
                </a:cxn>
              </a:cxnLst>
              <a:rect l="l" t="t" r="r" b="b"/>
              <a:pathLst>
                <a:path w="135000" h="81000">
                  <a:moveTo>
                    <a:pt x="0" y="0"/>
                  </a:moveTo>
                  <a:lnTo>
                    <a:pt x="135000" y="0"/>
                  </a:lnTo>
                  <a:lnTo>
                    <a:pt x="135000" y="81000"/>
                  </a:lnTo>
                  <a:lnTo>
                    <a:pt x="0" y="81000"/>
                  </a:lnTo>
                  <a:close/>
                </a:path>
              </a:pathLst>
            </a:custGeom>
            <a:ln/>
          </xdr:spPr>
          <xdr:style>
            <a:lnRef idx="0">
              <a:schemeClr val="dk1"/>
            </a:lnRef>
            <a:fillRef idx="3">
              <a:schemeClr val="dk1"/>
            </a:fillRef>
            <a:effectRef idx="3">
              <a:schemeClr val="dk1"/>
            </a:effectRef>
            <a:fontRef idx="minor">
              <a:schemeClr val="lt1"/>
            </a:fontRef>
          </xdr:style>
          <xdr:txBody>
            <a:bodyPr rtlCol="0" anchor="ctr"/>
            <a:lstStyle/>
            <a:p>
              <a:endParaRPr lang="nl-NL"/>
            </a:p>
          </xdr:txBody>
        </xdr:sp>
        <xdr:sp macro="" textlink="">
          <xdr:nvSpPr>
            <xdr:cNvPr id="72" name="Vrije vorm: vorm 10">
              <a:extLst>
                <a:ext uri="{FF2B5EF4-FFF2-40B4-BE49-F238E27FC236}">
                  <a16:creationId xmlns:a16="http://schemas.microsoft.com/office/drawing/2014/main" id="{00000000-0008-0000-0400-000048000000}"/>
                </a:ext>
              </a:extLst>
            </xdr:cNvPr>
            <xdr:cNvSpPr/>
          </xdr:nvSpPr>
          <xdr:spPr>
            <a:xfrm>
              <a:off x="1929925" y="118800"/>
              <a:ext cx="472499" cy="458999"/>
            </a:xfrm>
            <a:custGeom>
              <a:avLst/>
              <a:gdLst>
                <a:gd name="connsiteX0" fmla="*/ 397575 w 472499"/>
                <a:gd name="connsiteY0" fmla="*/ 68850 h 458999"/>
                <a:gd name="connsiteX1" fmla="*/ 234900 w 472499"/>
                <a:gd name="connsiteY1" fmla="*/ 0 h 458999"/>
                <a:gd name="connsiteX2" fmla="*/ 72225 w 472499"/>
                <a:gd name="connsiteY2" fmla="*/ 69525 h 458999"/>
                <a:gd name="connsiteX3" fmla="*/ 0 w 472499"/>
                <a:gd name="connsiteY3" fmla="*/ 251775 h 458999"/>
                <a:gd name="connsiteX4" fmla="*/ 0 w 472499"/>
                <a:gd name="connsiteY4" fmla="*/ 445500 h 458999"/>
                <a:gd name="connsiteX5" fmla="*/ 13500 w 472499"/>
                <a:gd name="connsiteY5" fmla="*/ 459000 h 458999"/>
                <a:gd name="connsiteX6" fmla="*/ 67500 w 472499"/>
                <a:gd name="connsiteY6" fmla="*/ 459000 h 458999"/>
                <a:gd name="connsiteX7" fmla="*/ 67500 w 472499"/>
                <a:gd name="connsiteY7" fmla="*/ 283500 h 458999"/>
                <a:gd name="connsiteX8" fmla="*/ 81000 w 472499"/>
                <a:gd name="connsiteY8" fmla="*/ 270000 h 458999"/>
                <a:gd name="connsiteX9" fmla="*/ 391500 w 472499"/>
                <a:gd name="connsiteY9" fmla="*/ 270000 h 458999"/>
                <a:gd name="connsiteX10" fmla="*/ 405000 w 472499"/>
                <a:gd name="connsiteY10" fmla="*/ 283500 h 458999"/>
                <a:gd name="connsiteX11" fmla="*/ 405000 w 472499"/>
                <a:gd name="connsiteY11" fmla="*/ 459000 h 458999"/>
                <a:gd name="connsiteX12" fmla="*/ 459000 w 472499"/>
                <a:gd name="connsiteY12" fmla="*/ 459000 h 458999"/>
                <a:gd name="connsiteX13" fmla="*/ 472500 w 472499"/>
                <a:gd name="connsiteY13" fmla="*/ 445500 h 458999"/>
                <a:gd name="connsiteX14" fmla="*/ 472500 w 472499"/>
                <a:gd name="connsiteY14" fmla="*/ 251100 h 458999"/>
                <a:gd name="connsiteX15" fmla="*/ 397575 w 472499"/>
                <a:gd name="connsiteY15" fmla="*/ 68850 h 458999"/>
                <a:gd name="connsiteX16" fmla="*/ 330075 w 472499"/>
                <a:gd name="connsiteY16" fmla="*/ 205875 h 458999"/>
                <a:gd name="connsiteX17" fmla="*/ 316575 w 472499"/>
                <a:gd name="connsiteY17" fmla="*/ 219375 h 458999"/>
                <a:gd name="connsiteX18" fmla="*/ 154575 w 472499"/>
                <a:gd name="connsiteY18" fmla="*/ 219375 h 458999"/>
                <a:gd name="connsiteX19" fmla="*/ 141075 w 472499"/>
                <a:gd name="connsiteY19" fmla="*/ 205875 h 458999"/>
                <a:gd name="connsiteX20" fmla="*/ 141075 w 472499"/>
                <a:gd name="connsiteY20" fmla="*/ 97875 h 458999"/>
                <a:gd name="connsiteX21" fmla="*/ 154575 w 472499"/>
                <a:gd name="connsiteY21" fmla="*/ 84375 h 458999"/>
                <a:gd name="connsiteX22" fmla="*/ 316575 w 472499"/>
                <a:gd name="connsiteY22" fmla="*/ 84375 h 458999"/>
                <a:gd name="connsiteX23" fmla="*/ 330075 w 472499"/>
                <a:gd name="connsiteY23" fmla="*/ 97875 h 458999"/>
                <a:gd name="connsiteX24" fmla="*/ 330075 w 472499"/>
                <a:gd name="connsiteY24" fmla="*/ 205875 h 4589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Lst>
              <a:rect l="l" t="t" r="r" b="b"/>
              <a:pathLst>
                <a:path w="472499" h="458999">
                  <a:moveTo>
                    <a:pt x="397575" y="68850"/>
                  </a:moveTo>
                  <a:lnTo>
                    <a:pt x="234900" y="0"/>
                  </a:lnTo>
                  <a:lnTo>
                    <a:pt x="72225" y="69525"/>
                  </a:lnTo>
                  <a:lnTo>
                    <a:pt x="0" y="251775"/>
                  </a:lnTo>
                  <a:lnTo>
                    <a:pt x="0" y="445500"/>
                  </a:lnTo>
                  <a:cubicBezTo>
                    <a:pt x="0" y="452925"/>
                    <a:pt x="6075" y="459000"/>
                    <a:pt x="13500" y="459000"/>
                  </a:cubicBezTo>
                  <a:lnTo>
                    <a:pt x="67500" y="459000"/>
                  </a:lnTo>
                  <a:lnTo>
                    <a:pt x="67500" y="283500"/>
                  </a:lnTo>
                  <a:cubicBezTo>
                    <a:pt x="67500" y="276075"/>
                    <a:pt x="73575" y="270000"/>
                    <a:pt x="81000" y="270000"/>
                  </a:cubicBezTo>
                  <a:lnTo>
                    <a:pt x="391500" y="270000"/>
                  </a:lnTo>
                  <a:cubicBezTo>
                    <a:pt x="398925" y="270000"/>
                    <a:pt x="405000" y="276075"/>
                    <a:pt x="405000" y="283500"/>
                  </a:cubicBezTo>
                  <a:lnTo>
                    <a:pt x="405000" y="459000"/>
                  </a:lnTo>
                  <a:lnTo>
                    <a:pt x="459000" y="459000"/>
                  </a:lnTo>
                  <a:cubicBezTo>
                    <a:pt x="466425" y="459000"/>
                    <a:pt x="472500" y="452925"/>
                    <a:pt x="472500" y="445500"/>
                  </a:cubicBezTo>
                  <a:lnTo>
                    <a:pt x="472500" y="251100"/>
                  </a:lnTo>
                  <a:lnTo>
                    <a:pt x="397575" y="68850"/>
                  </a:lnTo>
                  <a:close/>
                  <a:moveTo>
                    <a:pt x="330075" y="205875"/>
                  </a:moveTo>
                  <a:cubicBezTo>
                    <a:pt x="330075" y="213300"/>
                    <a:pt x="324000" y="219375"/>
                    <a:pt x="316575" y="219375"/>
                  </a:cubicBezTo>
                  <a:lnTo>
                    <a:pt x="154575" y="219375"/>
                  </a:lnTo>
                  <a:cubicBezTo>
                    <a:pt x="147150" y="219375"/>
                    <a:pt x="141075" y="213300"/>
                    <a:pt x="141075" y="205875"/>
                  </a:cubicBezTo>
                  <a:lnTo>
                    <a:pt x="141075" y="97875"/>
                  </a:lnTo>
                  <a:cubicBezTo>
                    <a:pt x="141075" y="90450"/>
                    <a:pt x="147150" y="84375"/>
                    <a:pt x="154575" y="84375"/>
                  </a:cubicBezTo>
                  <a:lnTo>
                    <a:pt x="316575" y="84375"/>
                  </a:lnTo>
                  <a:cubicBezTo>
                    <a:pt x="324000" y="84375"/>
                    <a:pt x="330075" y="90450"/>
                    <a:pt x="330075" y="97875"/>
                  </a:cubicBezTo>
                  <a:lnTo>
                    <a:pt x="330075" y="205875"/>
                  </a:lnTo>
                  <a:close/>
                </a:path>
              </a:pathLst>
            </a:custGeom>
            <a:ln/>
          </xdr:spPr>
          <xdr:style>
            <a:lnRef idx="0">
              <a:schemeClr val="dk1"/>
            </a:lnRef>
            <a:fillRef idx="3">
              <a:schemeClr val="dk1"/>
            </a:fillRef>
            <a:effectRef idx="3">
              <a:schemeClr val="dk1"/>
            </a:effectRef>
            <a:fontRef idx="minor">
              <a:schemeClr val="lt1"/>
            </a:fontRef>
          </xdr:style>
          <xdr:txBody>
            <a:bodyPr rtlCol="0" anchor="ctr"/>
            <a:lstStyle/>
            <a:p>
              <a:endParaRPr lang="nl-NL"/>
            </a:p>
          </xdr:txBody>
        </xdr:sp>
      </xdr:grpSp>
    </xdr:grpSp>
    <xdr:clientData/>
  </xdr:twoCellAnchor>
  <xdr:twoCellAnchor>
    <xdr:from>
      <xdr:col>1</xdr:col>
      <xdr:colOff>0</xdr:colOff>
      <xdr:row>0</xdr:row>
      <xdr:rowOff>63504</xdr:rowOff>
    </xdr:from>
    <xdr:to>
      <xdr:col>1</xdr:col>
      <xdr:colOff>1044000</xdr:colOff>
      <xdr:row>2</xdr:row>
      <xdr:rowOff>119066</xdr:rowOff>
    </xdr:to>
    <xdr:sp macro="" textlink="">
      <xdr:nvSpPr>
        <xdr:cNvPr id="38" name="Tekstvak 37">
          <a:hlinkClick xmlns:r="http://schemas.openxmlformats.org/officeDocument/2006/relationships" r:id="rId2"/>
          <a:extLst>
            <a:ext uri="{FF2B5EF4-FFF2-40B4-BE49-F238E27FC236}">
              <a16:creationId xmlns:a16="http://schemas.microsoft.com/office/drawing/2014/main" id="{00000000-0008-0000-0400-000026000000}"/>
            </a:ext>
          </a:extLst>
        </xdr:cNvPr>
        <xdr:cNvSpPr txBox="1"/>
      </xdr:nvSpPr>
      <xdr:spPr>
        <a:xfrm>
          <a:off x="190500" y="63504"/>
          <a:ext cx="1044000" cy="420687"/>
        </a:xfrm>
        <a:prstGeom prst="homePlate">
          <a:avLst/>
        </a:prstGeom>
        <a:solidFill>
          <a:schemeClr val="bg1">
            <a:lumMod val="95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nl-NL" sz="1400" b="1"/>
            <a:t>Inleiding</a:t>
          </a:r>
        </a:p>
      </xdr:txBody>
    </xdr:sp>
    <xdr:clientData/>
  </xdr:twoCellAnchor>
  <xdr:twoCellAnchor>
    <xdr:from>
      <xdr:col>1</xdr:col>
      <xdr:colOff>1120771</xdr:colOff>
      <xdr:row>0</xdr:row>
      <xdr:rowOff>73023</xdr:rowOff>
    </xdr:from>
    <xdr:to>
      <xdr:col>2</xdr:col>
      <xdr:colOff>378833</xdr:colOff>
      <xdr:row>2</xdr:row>
      <xdr:rowOff>128585</xdr:rowOff>
    </xdr:to>
    <xdr:sp macro="" textlink="">
      <xdr:nvSpPr>
        <xdr:cNvPr id="49" name="Tekstvak 48">
          <a:hlinkClick xmlns:r="http://schemas.openxmlformats.org/officeDocument/2006/relationships" r:id="rId3"/>
          <a:extLst>
            <a:ext uri="{FF2B5EF4-FFF2-40B4-BE49-F238E27FC236}">
              <a16:creationId xmlns:a16="http://schemas.microsoft.com/office/drawing/2014/main" id="{00000000-0008-0000-0400-000031000000}"/>
            </a:ext>
          </a:extLst>
        </xdr:cNvPr>
        <xdr:cNvSpPr txBox="1"/>
      </xdr:nvSpPr>
      <xdr:spPr>
        <a:xfrm>
          <a:off x="1311271" y="73023"/>
          <a:ext cx="1044000" cy="420687"/>
        </a:xfrm>
        <a:prstGeom prst="homePlate">
          <a:avLst/>
        </a:prstGeom>
        <a:solidFill>
          <a:schemeClr val="bg1">
            <a:lumMod val="95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nl-NL" sz="1400" b="1">
              <a:solidFill>
                <a:sysClr val="windowText" lastClr="000000"/>
              </a:solidFill>
            </a:rPr>
            <a:t>Extra</a:t>
          </a:r>
          <a:r>
            <a:rPr lang="nl-NL" sz="1400" b="1"/>
            <a:t> </a:t>
          </a:r>
          <a:r>
            <a:rPr lang="nl-NL" sz="1400" b="1">
              <a:solidFill>
                <a:sysClr val="windowText" lastClr="000000"/>
              </a:solidFill>
            </a:rPr>
            <a:t>land</a:t>
          </a:r>
        </a:p>
      </xdr:txBody>
    </xdr:sp>
    <xdr:clientData/>
  </xdr:twoCellAnchor>
  <xdr:twoCellAnchor>
    <xdr:from>
      <xdr:col>2</xdr:col>
      <xdr:colOff>444508</xdr:colOff>
      <xdr:row>0</xdr:row>
      <xdr:rowOff>79375</xdr:rowOff>
    </xdr:from>
    <xdr:to>
      <xdr:col>2</xdr:col>
      <xdr:colOff>1488508</xdr:colOff>
      <xdr:row>2</xdr:row>
      <xdr:rowOff>134937</xdr:rowOff>
    </xdr:to>
    <xdr:sp macro="" textlink="">
      <xdr:nvSpPr>
        <xdr:cNvPr id="50" name="Tekstvak 49">
          <a:hlinkClick xmlns:r="http://schemas.openxmlformats.org/officeDocument/2006/relationships" r:id="rId4"/>
          <a:extLst>
            <a:ext uri="{FF2B5EF4-FFF2-40B4-BE49-F238E27FC236}">
              <a16:creationId xmlns:a16="http://schemas.microsoft.com/office/drawing/2014/main" id="{00000000-0008-0000-0400-000032000000}"/>
            </a:ext>
          </a:extLst>
        </xdr:cNvPr>
        <xdr:cNvSpPr txBox="1"/>
      </xdr:nvSpPr>
      <xdr:spPr>
        <a:xfrm>
          <a:off x="2420946" y="79375"/>
          <a:ext cx="1044000" cy="420687"/>
        </a:xfrm>
        <a:prstGeom prst="homePlate">
          <a:avLst/>
        </a:prstGeom>
        <a:solidFill>
          <a:schemeClr val="bg1">
            <a:lumMod val="95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nl-NL" sz="1400" b="1"/>
            <a:t>Bouwplan</a:t>
          </a:r>
        </a:p>
      </xdr:txBody>
    </xdr:sp>
    <xdr:clientData/>
  </xdr:twoCellAnchor>
  <xdr:twoCellAnchor>
    <xdr:from>
      <xdr:col>2</xdr:col>
      <xdr:colOff>1555780</xdr:colOff>
      <xdr:row>0</xdr:row>
      <xdr:rowOff>79375</xdr:rowOff>
    </xdr:from>
    <xdr:to>
      <xdr:col>3</xdr:col>
      <xdr:colOff>559843</xdr:colOff>
      <xdr:row>2</xdr:row>
      <xdr:rowOff>134937</xdr:rowOff>
    </xdr:to>
    <xdr:sp macro="" textlink="">
      <xdr:nvSpPr>
        <xdr:cNvPr id="51" name="Tekstvak 50">
          <a:hlinkClick xmlns:r="http://schemas.openxmlformats.org/officeDocument/2006/relationships" r:id="rId5"/>
          <a:extLst>
            <a:ext uri="{FF2B5EF4-FFF2-40B4-BE49-F238E27FC236}">
              <a16:creationId xmlns:a16="http://schemas.microsoft.com/office/drawing/2014/main" id="{00000000-0008-0000-0400-000033000000}"/>
            </a:ext>
          </a:extLst>
        </xdr:cNvPr>
        <xdr:cNvSpPr txBox="1"/>
      </xdr:nvSpPr>
      <xdr:spPr>
        <a:xfrm>
          <a:off x="3532218" y="79375"/>
          <a:ext cx="1044000" cy="420687"/>
        </a:xfrm>
        <a:prstGeom prst="homePlate">
          <a:avLst/>
        </a:prstGeom>
        <a:solidFill>
          <a:schemeClr val="bg1">
            <a:lumMod val="95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nl-NL" sz="1400" b="1"/>
            <a:t>Voer</a:t>
          </a:r>
          <a:endParaRPr lang="nl-NL" sz="1600" b="1"/>
        </a:p>
      </xdr:txBody>
    </xdr:sp>
    <xdr:clientData/>
  </xdr:twoCellAnchor>
  <xdr:twoCellAnchor>
    <xdr:from>
      <xdr:col>3</xdr:col>
      <xdr:colOff>627072</xdr:colOff>
      <xdr:row>0</xdr:row>
      <xdr:rowOff>87313</xdr:rowOff>
    </xdr:from>
    <xdr:to>
      <xdr:col>5</xdr:col>
      <xdr:colOff>797947</xdr:colOff>
      <xdr:row>2</xdr:row>
      <xdr:rowOff>142875</xdr:rowOff>
    </xdr:to>
    <xdr:sp macro="" textlink="">
      <xdr:nvSpPr>
        <xdr:cNvPr id="52" name="Tekstvak 51">
          <a:hlinkClick xmlns:r="http://schemas.openxmlformats.org/officeDocument/2006/relationships" r:id="rId6"/>
          <a:extLst>
            <a:ext uri="{FF2B5EF4-FFF2-40B4-BE49-F238E27FC236}">
              <a16:creationId xmlns:a16="http://schemas.microsoft.com/office/drawing/2014/main" id="{00000000-0008-0000-0400-000034000000}"/>
            </a:ext>
          </a:extLst>
        </xdr:cNvPr>
        <xdr:cNvSpPr txBox="1"/>
      </xdr:nvSpPr>
      <xdr:spPr>
        <a:xfrm>
          <a:off x="4643447" y="87313"/>
          <a:ext cx="1044000" cy="420687"/>
        </a:xfrm>
        <a:prstGeom prst="homePlate">
          <a:avLst/>
        </a:prstGeom>
        <a:solidFill>
          <a:schemeClr val="accent2">
            <a:lumMod val="60000"/>
            <a:lumOff val="40000"/>
          </a:schemeClr>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nl-NL" sz="1050" b="1"/>
            <a:t>Melk-productie</a:t>
          </a:r>
          <a:endParaRPr lang="nl-NL" sz="1400" b="1"/>
        </a:p>
      </xdr:txBody>
    </xdr:sp>
    <xdr:clientData/>
  </xdr:twoCellAnchor>
  <xdr:twoCellAnchor>
    <xdr:from>
      <xdr:col>5</xdr:col>
      <xdr:colOff>866779</xdr:colOff>
      <xdr:row>0</xdr:row>
      <xdr:rowOff>88899</xdr:rowOff>
    </xdr:from>
    <xdr:to>
      <xdr:col>5</xdr:col>
      <xdr:colOff>1910779</xdr:colOff>
      <xdr:row>2</xdr:row>
      <xdr:rowOff>144461</xdr:rowOff>
    </xdr:to>
    <xdr:sp macro="" textlink="">
      <xdr:nvSpPr>
        <xdr:cNvPr id="53" name="Tekstvak 52">
          <a:hlinkClick xmlns:r="http://schemas.openxmlformats.org/officeDocument/2006/relationships" r:id="rId7"/>
          <a:extLst>
            <a:ext uri="{FF2B5EF4-FFF2-40B4-BE49-F238E27FC236}">
              <a16:creationId xmlns:a16="http://schemas.microsoft.com/office/drawing/2014/main" id="{00000000-0008-0000-0400-000035000000}"/>
            </a:ext>
          </a:extLst>
        </xdr:cNvPr>
        <xdr:cNvSpPr txBox="1"/>
      </xdr:nvSpPr>
      <xdr:spPr>
        <a:xfrm>
          <a:off x="5756279" y="88899"/>
          <a:ext cx="1044000" cy="420687"/>
        </a:xfrm>
        <a:prstGeom prst="homePlate">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nl-NL" sz="1000" b="1"/>
            <a:t>Toegerekende kosten</a:t>
          </a:r>
        </a:p>
      </xdr:txBody>
    </xdr:sp>
    <xdr:clientData/>
  </xdr:twoCellAnchor>
  <xdr:twoCellAnchor>
    <xdr:from>
      <xdr:col>5</xdr:col>
      <xdr:colOff>1979619</xdr:colOff>
      <xdr:row>0</xdr:row>
      <xdr:rowOff>98421</xdr:rowOff>
    </xdr:from>
    <xdr:to>
      <xdr:col>8</xdr:col>
      <xdr:colOff>110556</xdr:colOff>
      <xdr:row>2</xdr:row>
      <xdr:rowOff>153983</xdr:rowOff>
    </xdr:to>
    <xdr:sp macro="" textlink="">
      <xdr:nvSpPr>
        <xdr:cNvPr id="54" name="Tekstvak 53">
          <a:hlinkClick xmlns:r="http://schemas.openxmlformats.org/officeDocument/2006/relationships" r:id="rId1"/>
          <a:extLst>
            <a:ext uri="{FF2B5EF4-FFF2-40B4-BE49-F238E27FC236}">
              <a16:creationId xmlns:a16="http://schemas.microsoft.com/office/drawing/2014/main" id="{00000000-0008-0000-0400-000036000000}"/>
            </a:ext>
          </a:extLst>
        </xdr:cNvPr>
        <xdr:cNvSpPr txBox="1"/>
      </xdr:nvSpPr>
      <xdr:spPr>
        <a:xfrm>
          <a:off x="6869119" y="98421"/>
          <a:ext cx="1044000" cy="420687"/>
        </a:xfrm>
        <a:prstGeom prst="homePlate">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nl-NL" sz="1400" b="1"/>
            <a:t>Resultaat</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5</xdr:row>
          <xdr:rowOff>182880</xdr:rowOff>
        </xdr:from>
        <xdr:to>
          <xdr:col>2</xdr:col>
          <xdr:colOff>7620</xdr:colOff>
          <xdr:row>7</xdr:row>
          <xdr:rowOff>0</xdr:rowOff>
        </xdr:to>
        <xdr:sp macro="" textlink="">
          <xdr:nvSpPr>
            <xdr:cNvPr id="14337" name="Option Button 1" hidden="1">
              <a:extLst>
                <a:ext uri="{63B3BB69-23CF-44E3-9099-C40C66FF867C}">
                  <a14:compatExt spid="_x0000_s14337"/>
                </a:ext>
                <a:ext uri="{FF2B5EF4-FFF2-40B4-BE49-F238E27FC236}">
                  <a16:creationId xmlns:a16="http://schemas.microsoft.com/office/drawing/2014/main" id="{00000000-0008-0000-05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NL" sz="800" b="0" i="0" u="none" strike="noStrike" baseline="0">
                  <a:solidFill>
                    <a:srgbClr val="000000"/>
                  </a:solidFill>
                  <a:latin typeface="Segoe UI"/>
                  <a:cs typeface="Segoe UI"/>
                </a:rPr>
                <a:t>Gemiddelde gebruiken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xdr:row>
          <xdr:rowOff>0</xdr:rowOff>
        </xdr:from>
        <xdr:to>
          <xdr:col>2</xdr:col>
          <xdr:colOff>0</xdr:colOff>
          <xdr:row>8</xdr:row>
          <xdr:rowOff>0</xdr:rowOff>
        </xdr:to>
        <xdr:sp macro="" textlink="">
          <xdr:nvSpPr>
            <xdr:cNvPr id="14338" name="Option Button 2" hidden="1">
              <a:extLst>
                <a:ext uri="{63B3BB69-23CF-44E3-9099-C40C66FF867C}">
                  <a14:compatExt spid="_x0000_s14338"/>
                </a:ext>
                <a:ext uri="{FF2B5EF4-FFF2-40B4-BE49-F238E27FC236}">
                  <a16:creationId xmlns:a16="http://schemas.microsoft.com/office/drawing/2014/main" id="{00000000-0008-0000-05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NL" sz="800" b="0" i="0" u="none" strike="noStrike" baseline="0">
                  <a:solidFill>
                    <a:srgbClr val="000000"/>
                  </a:solidFill>
                  <a:latin typeface="Segoe UI"/>
                  <a:cs typeface="Segoe UI"/>
                </a:rPr>
                <a:t>Eigen invoer gebruiken</a:t>
              </a:r>
            </a:p>
          </xdr:txBody>
        </xdr:sp>
        <xdr:clientData/>
      </xdr:twoCellAnchor>
    </mc:Choice>
    <mc:Fallback/>
  </mc:AlternateContent>
  <xdr:twoCellAnchor>
    <xdr:from>
      <xdr:col>7</xdr:col>
      <xdr:colOff>126156</xdr:colOff>
      <xdr:row>3</xdr:row>
      <xdr:rowOff>18147</xdr:rowOff>
    </xdr:from>
    <xdr:to>
      <xdr:col>7</xdr:col>
      <xdr:colOff>126156</xdr:colOff>
      <xdr:row>4</xdr:row>
      <xdr:rowOff>160719</xdr:rowOff>
    </xdr:to>
    <xdr:grpSp>
      <xdr:nvGrpSpPr>
        <xdr:cNvPr id="51" name="Graphic 11" descr="Schuur met effen opvulling">
          <a:hlinkClick xmlns:r="http://schemas.openxmlformats.org/officeDocument/2006/relationships" r:id="rId1"/>
          <a:extLst>
            <a:ext uri="{FF2B5EF4-FFF2-40B4-BE49-F238E27FC236}">
              <a16:creationId xmlns:a16="http://schemas.microsoft.com/office/drawing/2014/main" id="{00000000-0008-0000-0500-000033000000}"/>
            </a:ext>
          </a:extLst>
        </xdr:cNvPr>
        <xdr:cNvGrpSpPr>
          <a:grpSpLocks/>
        </xdr:cNvGrpSpPr>
      </xdr:nvGrpSpPr>
      <xdr:grpSpPr>
        <a:xfrm>
          <a:off x="5936406" y="561072"/>
          <a:ext cx="0" cy="323547"/>
          <a:chOff x="1874992" y="70875"/>
          <a:chExt cx="580430" cy="506924"/>
        </a:xfrm>
        <a:solidFill>
          <a:srgbClr val="000000"/>
        </a:solidFill>
      </xdr:grpSpPr>
      <xdr:sp macro="" textlink="">
        <xdr:nvSpPr>
          <xdr:cNvPr id="52" name="Vrije vorm: vorm 6">
            <a:extLst>
              <a:ext uri="{FF2B5EF4-FFF2-40B4-BE49-F238E27FC236}">
                <a16:creationId xmlns:a16="http://schemas.microsoft.com/office/drawing/2014/main" id="{00000000-0008-0000-0500-000034000000}"/>
              </a:ext>
            </a:extLst>
          </xdr:cNvPr>
          <xdr:cNvSpPr/>
        </xdr:nvSpPr>
        <xdr:spPr>
          <a:xfrm>
            <a:off x="1874992" y="70875"/>
            <a:ext cx="580430" cy="311174"/>
          </a:xfrm>
          <a:custGeom>
            <a:avLst/>
            <a:gdLst>
              <a:gd name="connsiteX0" fmla="*/ 567257 w 580430"/>
              <a:gd name="connsiteY0" fmla="*/ 311175 h 311174"/>
              <a:gd name="connsiteX1" fmla="*/ 555107 w 580430"/>
              <a:gd name="connsiteY1" fmla="*/ 303075 h 311174"/>
              <a:gd name="connsiteX2" fmla="*/ 470057 w 580430"/>
              <a:gd name="connsiteY2" fmla="*/ 102600 h 311174"/>
              <a:gd name="connsiteX3" fmla="*/ 289832 w 580430"/>
              <a:gd name="connsiteY3" fmla="*/ 28350 h 311174"/>
              <a:gd name="connsiteX4" fmla="*/ 109607 w 580430"/>
              <a:gd name="connsiteY4" fmla="*/ 102600 h 311174"/>
              <a:gd name="connsiteX5" fmla="*/ 25907 w 580430"/>
              <a:gd name="connsiteY5" fmla="*/ 301050 h 311174"/>
              <a:gd name="connsiteX6" fmla="*/ 8357 w 580430"/>
              <a:gd name="connsiteY6" fmla="*/ 308475 h 311174"/>
              <a:gd name="connsiteX7" fmla="*/ 932 w 580430"/>
              <a:gd name="connsiteY7" fmla="*/ 290925 h 311174"/>
              <a:gd name="connsiteX8" fmla="*/ 88007 w 580430"/>
              <a:gd name="connsiteY8" fmla="*/ 83025 h 311174"/>
              <a:gd name="connsiteX9" fmla="*/ 289157 w 580430"/>
              <a:gd name="connsiteY9" fmla="*/ 0 h 311174"/>
              <a:gd name="connsiteX10" fmla="*/ 490307 w 580430"/>
              <a:gd name="connsiteY10" fmla="*/ 83025 h 311174"/>
              <a:gd name="connsiteX11" fmla="*/ 579407 w 580430"/>
              <a:gd name="connsiteY11" fmla="*/ 292950 h 311174"/>
              <a:gd name="connsiteX12" fmla="*/ 571982 w 580430"/>
              <a:gd name="connsiteY12" fmla="*/ 310500 h 311174"/>
              <a:gd name="connsiteX13" fmla="*/ 567257 w 580430"/>
              <a:gd name="connsiteY13" fmla="*/ 311175 h 3111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580430" h="311174">
                <a:moveTo>
                  <a:pt x="567257" y="311175"/>
                </a:moveTo>
                <a:cubicBezTo>
                  <a:pt x="561857" y="311175"/>
                  <a:pt x="557132" y="307800"/>
                  <a:pt x="555107" y="303075"/>
                </a:cubicBezTo>
                <a:lnTo>
                  <a:pt x="470057" y="102600"/>
                </a:lnTo>
                <a:lnTo>
                  <a:pt x="289832" y="28350"/>
                </a:lnTo>
                <a:lnTo>
                  <a:pt x="109607" y="102600"/>
                </a:lnTo>
                <a:lnTo>
                  <a:pt x="25907" y="301050"/>
                </a:lnTo>
                <a:cubicBezTo>
                  <a:pt x="23207" y="307800"/>
                  <a:pt x="15107" y="311175"/>
                  <a:pt x="8357" y="308475"/>
                </a:cubicBezTo>
                <a:cubicBezTo>
                  <a:pt x="1607" y="305775"/>
                  <a:pt x="-1768" y="297675"/>
                  <a:pt x="932" y="290925"/>
                </a:cubicBezTo>
                <a:lnTo>
                  <a:pt x="88007" y="83025"/>
                </a:lnTo>
                <a:lnTo>
                  <a:pt x="289157" y="0"/>
                </a:lnTo>
                <a:lnTo>
                  <a:pt x="490307" y="83025"/>
                </a:lnTo>
                <a:lnTo>
                  <a:pt x="579407" y="292950"/>
                </a:lnTo>
                <a:cubicBezTo>
                  <a:pt x="582107" y="299700"/>
                  <a:pt x="579407" y="307800"/>
                  <a:pt x="571982" y="310500"/>
                </a:cubicBezTo>
                <a:cubicBezTo>
                  <a:pt x="570632" y="310500"/>
                  <a:pt x="569282" y="311175"/>
                  <a:pt x="567257" y="311175"/>
                </a:cubicBezTo>
                <a:close/>
              </a:path>
            </a:pathLst>
          </a:custGeom>
          <a:ln/>
        </xdr:spPr>
        <xdr:style>
          <a:lnRef idx="0">
            <a:schemeClr val="dk1"/>
          </a:lnRef>
          <a:fillRef idx="3">
            <a:schemeClr val="dk1"/>
          </a:fillRef>
          <a:effectRef idx="3">
            <a:schemeClr val="dk1"/>
          </a:effectRef>
          <a:fontRef idx="minor">
            <a:schemeClr val="lt1"/>
          </a:fontRef>
        </xdr:style>
        <xdr:txBody>
          <a:bodyPr rtlCol="0" anchor="ctr"/>
          <a:lstStyle/>
          <a:p>
            <a:endParaRPr lang="nl-NL"/>
          </a:p>
        </xdr:txBody>
      </xdr:sp>
      <xdr:grpSp>
        <xdr:nvGrpSpPr>
          <xdr:cNvPr id="53" name="Graphic 11" descr="Schuur met effen opvulling">
            <a:extLst>
              <a:ext uri="{FF2B5EF4-FFF2-40B4-BE49-F238E27FC236}">
                <a16:creationId xmlns:a16="http://schemas.microsoft.com/office/drawing/2014/main" id="{00000000-0008-0000-0500-000035000000}"/>
              </a:ext>
            </a:extLst>
          </xdr:cNvPr>
          <xdr:cNvGrpSpPr/>
        </xdr:nvGrpSpPr>
        <xdr:grpSpPr>
          <a:xfrm>
            <a:off x="2023750" y="415799"/>
            <a:ext cx="283500" cy="162000"/>
            <a:chOff x="2023750" y="415799"/>
            <a:chExt cx="283500" cy="162000"/>
          </a:xfrm>
          <a:solidFill>
            <a:srgbClr val="000000"/>
          </a:solidFill>
        </xdr:grpSpPr>
        <xdr:sp macro="" textlink="">
          <xdr:nvSpPr>
            <xdr:cNvPr id="57" name="Vrije vorm: vorm 11">
              <a:extLst>
                <a:ext uri="{FF2B5EF4-FFF2-40B4-BE49-F238E27FC236}">
                  <a16:creationId xmlns:a16="http://schemas.microsoft.com/office/drawing/2014/main" id="{00000000-0008-0000-0500-000039000000}"/>
                </a:ext>
              </a:extLst>
            </xdr:cNvPr>
            <xdr:cNvSpPr/>
          </xdr:nvSpPr>
          <xdr:spPr>
            <a:xfrm>
              <a:off x="2058174" y="512325"/>
              <a:ext cx="214650" cy="65474"/>
            </a:xfrm>
            <a:custGeom>
              <a:avLst/>
              <a:gdLst>
                <a:gd name="connsiteX0" fmla="*/ 107325 w 214650"/>
                <a:gd name="connsiteY0" fmla="*/ 0 h 65474"/>
                <a:gd name="connsiteX1" fmla="*/ 0 w 214650"/>
                <a:gd name="connsiteY1" fmla="*/ 65475 h 65474"/>
                <a:gd name="connsiteX2" fmla="*/ 214650 w 214650"/>
                <a:gd name="connsiteY2" fmla="*/ 65475 h 65474"/>
              </a:gdLst>
              <a:ahLst/>
              <a:cxnLst>
                <a:cxn ang="0">
                  <a:pos x="connsiteX0" y="connsiteY0"/>
                </a:cxn>
                <a:cxn ang="0">
                  <a:pos x="connsiteX1" y="connsiteY1"/>
                </a:cxn>
                <a:cxn ang="0">
                  <a:pos x="connsiteX2" y="connsiteY2"/>
                </a:cxn>
              </a:cxnLst>
              <a:rect l="l" t="t" r="r" b="b"/>
              <a:pathLst>
                <a:path w="214650" h="65474">
                  <a:moveTo>
                    <a:pt x="107325" y="0"/>
                  </a:moveTo>
                  <a:lnTo>
                    <a:pt x="0" y="65475"/>
                  </a:lnTo>
                  <a:lnTo>
                    <a:pt x="214650" y="65475"/>
                  </a:lnTo>
                  <a:close/>
                </a:path>
              </a:pathLst>
            </a:custGeom>
            <a:ln/>
          </xdr:spPr>
          <xdr:style>
            <a:lnRef idx="0">
              <a:schemeClr val="dk1"/>
            </a:lnRef>
            <a:fillRef idx="3">
              <a:schemeClr val="dk1"/>
            </a:fillRef>
            <a:effectRef idx="3">
              <a:schemeClr val="dk1"/>
            </a:effectRef>
            <a:fontRef idx="minor">
              <a:schemeClr val="lt1"/>
            </a:fontRef>
          </xdr:style>
          <xdr:txBody>
            <a:bodyPr rtlCol="0" anchor="ctr"/>
            <a:lstStyle/>
            <a:p>
              <a:endParaRPr lang="nl-NL"/>
            </a:p>
          </xdr:txBody>
        </xdr:sp>
        <xdr:sp macro="" textlink="">
          <xdr:nvSpPr>
            <xdr:cNvPr id="58" name="Vrije vorm: vorm 12">
              <a:extLst>
                <a:ext uri="{FF2B5EF4-FFF2-40B4-BE49-F238E27FC236}">
                  <a16:creationId xmlns:a16="http://schemas.microsoft.com/office/drawing/2014/main" id="{00000000-0008-0000-0500-00003A000000}"/>
                </a:ext>
              </a:extLst>
            </xdr:cNvPr>
            <xdr:cNvSpPr/>
          </xdr:nvSpPr>
          <xdr:spPr>
            <a:xfrm>
              <a:off x="2023750" y="425924"/>
              <a:ext cx="116100" cy="141075"/>
            </a:xfrm>
            <a:custGeom>
              <a:avLst/>
              <a:gdLst>
                <a:gd name="connsiteX0" fmla="*/ 0 w 116100"/>
                <a:gd name="connsiteY0" fmla="*/ 141075 h 141075"/>
                <a:gd name="connsiteX1" fmla="*/ 116100 w 116100"/>
                <a:gd name="connsiteY1" fmla="*/ 70875 h 141075"/>
                <a:gd name="connsiteX2" fmla="*/ 0 w 116100"/>
                <a:gd name="connsiteY2" fmla="*/ 0 h 141075"/>
              </a:gdLst>
              <a:ahLst/>
              <a:cxnLst>
                <a:cxn ang="0">
                  <a:pos x="connsiteX0" y="connsiteY0"/>
                </a:cxn>
                <a:cxn ang="0">
                  <a:pos x="connsiteX1" y="connsiteY1"/>
                </a:cxn>
                <a:cxn ang="0">
                  <a:pos x="connsiteX2" y="connsiteY2"/>
                </a:cxn>
              </a:cxnLst>
              <a:rect l="l" t="t" r="r" b="b"/>
              <a:pathLst>
                <a:path w="116100" h="141075">
                  <a:moveTo>
                    <a:pt x="0" y="141075"/>
                  </a:moveTo>
                  <a:lnTo>
                    <a:pt x="116100" y="70875"/>
                  </a:lnTo>
                  <a:lnTo>
                    <a:pt x="0" y="0"/>
                  </a:lnTo>
                  <a:close/>
                </a:path>
              </a:pathLst>
            </a:custGeom>
            <a:ln/>
          </xdr:spPr>
          <xdr:style>
            <a:lnRef idx="0">
              <a:schemeClr val="dk1"/>
            </a:lnRef>
            <a:fillRef idx="3">
              <a:schemeClr val="dk1"/>
            </a:fillRef>
            <a:effectRef idx="3">
              <a:schemeClr val="dk1"/>
            </a:effectRef>
            <a:fontRef idx="minor">
              <a:schemeClr val="lt1"/>
            </a:fontRef>
          </xdr:style>
          <xdr:txBody>
            <a:bodyPr rtlCol="0" anchor="ctr"/>
            <a:lstStyle/>
            <a:p>
              <a:endParaRPr lang="nl-NL"/>
            </a:p>
          </xdr:txBody>
        </xdr:sp>
        <xdr:sp macro="" textlink="">
          <xdr:nvSpPr>
            <xdr:cNvPr id="59" name="Vrije vorm: vorm 13">
              <a:extLst>
                <a:ext uri="{FF2B5EF4-FFF2-40B4-BE49-F238E27FC236}">
                  <a16:creationId xmlns:a16="http://schemas.microsoft.com/office/drawing/2014/main" id="{00000000-0008-0000-0500-00003B000000}"/>
                </a:ext>
              </a:extLst>
            </xdr:cNvPr>
            <xdr:cNvSpPr/>
          </xdr:nvSpPr>
          <xdr:spPr>
            <a:xfrm>
              <a:off x="2058174" y="415799"/>
              <a:ext cx="214650" cy="64799"/>
            </a:xfrm>
            <a:custGeom>
              <a:avLst/>
              <a:gdLst>
                <a:gd name="connsiteX0" fmla="*/ 0 w 214650"/>
                <a:gd name="connsiteY0" fmla="*/ 0 h 64799"/>
                <a:gd name="connsiteX1" fmla="*/ 107325 w 214650"/>
                <a:gd name="connsiteY1" fmla="*/ 64800 h 64799"/>
                <a:gd name="connsiteX2" fmla="*/ 214650 w 214650"/>
                <a:gd name="connsiteY2" fmla="*/ 0 h 64799"/>
              </a:gdLst>
              <a:ahLst/>
              <a:cxnLst>
                <a:cxn ang="0">
                  <a:pos x="connsiteX0" y="connsiteY0"/>
                </a:cxn>
                <a:cxn ang="0">
                  <a:pos x="connsiteX1" y="connsiteY1"/>
                </a:cxn>
                <a:cxn ang="0">
                  <a:pos x="connsiteX2" y="connsiteY2"/>
                </a:cxn>
              </a:cxnLst>
              <a:rect l="l" t="t" r="r" b="b"/>
              <a:pathLst>
                <a:path w="214650" h="64799">
                  <a:moveTo>
                    <a:pt x="0" y="0"/>
                  </a:moveTo>
                  <a:lnTo>
                    <a:pt x="107325" y="64800"/>
                  </a:lnTo>
                  <a:lnTo>
                    <a:pt x="214650" y="0"/>
                  </a:lnTo>
                  <a:close/>
                </a:path>
              </a:pathLst>
            </a:custGeom>
            <a:ln/>
          </xdr:spPr>
          <xdr:style>
            <a:lnRef idx="0">
              <a:schemeClr val="dk1"/>
            </a:lnRef>
            <a:fillRef idx="3">
              <a:schemeClr val="dk1"/>
            </a:fillRef>
            <a:effectRef idx="3">
              <a:schemeClr val="dk1"/>
            </a:effectRef>
            <a:fontRef idx="minor">
              <a:schemeClr val="lt1"/>
            </a:fontRef>
          </xdr:style>
          <xdr:txBody>
            <a:bodyPr rtlCol="0" anchor="ctr"/>
            <a:lstStyle/>
            <a:p>
              <a:endParaRPr lang="nl-NL"/>
            </a:p>
          </xdr:txBody>
        </xdr:sp>
        <xdr:sp macro="" textlink="">
          <xdr:nvSpPr>
            <xdr:cNvPr id="60" name="Vrije vorm: vorm 14">
              <a:extLst>
                <a:ext uri="{FF2B5EF4-FFF2-40B4-BE49-F238E27FC236}">
                  <a16:creationId xmlns:a16="http://schemas.microsoft.com/office/drawing/2014/main" id="{00000000-0008-0000-0500-00003C000000}"/>
                </a:ext>
              </a:extLst>
            </xdr:cNvPr>
            <xdr:cNvSpPr/>
          </xdr:nvSpPr>
          <xdr:spPr>
            <a:xfrm>
              <a:off x="2191149" y="425924"/>
              <a:ext cx="116100" cy="141075"/>
            </a:xfrm>
            <a:custGeom>
              <a:avLst/>
              <a:gdLst>
                <a:gd name="connsiteX0" fmla="*/ 116100 w 116100"/>
                <a:gd name="connsiteY0" fmla="*/ 141075 h 141075"/>
                <a:gd name="connsiteX1" fmla="*/ 116100 w 116100"/>
                <a:gd name="connsiteY1" fmla="*/ 0 h 141075"/>
                <a:gd name="connsiteX2" fmla="*/ 0 w 116100"/>
                <a:gd name="connsiteY2" fmla="*/ 70875 h 141075"/>
              </a:gdLst>
              <a:ahLst/>
              <a:cxnLst>
                <a:cxn ang="0">
                  <a:pos x="connsiteX0" y="connsiteY0"/>
                </a:cxn>
                <a:cxn ang="0">
                  <a:pos x="connsiteX1" y="connsiteY1"/>
                </a:cxn>
                <a:cxn ang="0">
                  <a:pos x="connsiteX2" y="connsiteY2"/>
                </a:cxn>
              </a:cxnLst>
              <a:rect l="l" t="t" r="r" b="b"/>
              <a:pathLst>
                <a:path w="116100" h="141075">
                  <a:moveTo>
                    <a:pt x="116100" y="141075"/>
                  </a:moveTo>
                  <a:lnTo>
                    <a:pt x="116100" y="0"/>
                  </a:lnTo>
                  <a:lnTo>
                    <a:pt x="0" y="70875"/>
                  </a:lnTo>
                  <a:close/>
                </a:path>
              </a:pathLst>
            </a:custGeom>
            <a:ln/>
          </xdr:spPr>
          <xdr:style>
            <a:lnRef idx="0">
              <a:schemeClr val="dk1"/>
            </a:lnRef>
            <a:fillRef idx="3">
              <a:schemeClr val="dk1"/>
            </a:fillRef>
            <a:effectRef idx="3">
              <a:schemeClr val="dk1"/>
            </a:effectRef>
            <a:fontRef idx="minor">
              <a:schemeClr val="lt1"/>
            </a:fontRef>
          </xdr:style>
          <xdr:txBody>
            <a:bodyPr rtlCol="0" anchor="ctr"/>
            <a:lstStyle/>
            <a:p>
              <a:endParaRPr lang="nl-NL"/>
            </a:p>
          </xdr:txBody>
        </xdr:sp>
      </xdr:grpSp>
      <xdr:grpSp>
        <xdr:nvGrpSpPr>
          <xdr:cNvPr id="54" name="Graphic 11" descr="Schuur met effen opvulling">
            <a:extLst>
              <a:ext uri="{FF2B5EF4-FFF2-40B4-BE49-F238E27FC236}">
                <a16:creationId xmlns:a16="http://schemas.microsoft.com/office/drawing/2014/main" id="{00000000-0008-0000-0500-000036000000}"/>
              </a:ext>
            </a:extLst>
          </xdr:cNvPr>
          <xdr:cNvGrpSpPr/>
        </xdr:nvGrpSpPr>
        <xdr:grpSpPr>
          <a:xfrm>
            <a:off x="1929925" y="118800"/>
            <a:ext cx="472499" cy="458999"/>
            <a:chOff x="1929925" y="118800"/>
            <a:chExt cx="472499" cy="458999"/>
          </a:xfrm>
          <a:solidFill>
            <a:srgbClr val="000000"/>
          </a:solidFill>
        </xdr:grpSpPr>
        <xdr:sp macro="" textlink="">
          <xdr:nvSpPr>
            <xdr:cNvPr id="55" name="Vrije vorm: vorm 9">
              <a:extLst>
                <a:ext uri="{FF2B5EF4-FFF2-40B4-BE49-F238E27FC236}">
                  <a16:creationId xmlns:a16="http://schemas.microsoft.com/office/drawing/2014/main" id="{00000000-0008-0000-0500-000037000000}"/>
                </a:ext>
              </a:extLst>
            </xdr:cNvPr>
            <xdr:cNvSpPr/>
          </xdr:nvSpPr>
          <xdr:spPr>
            <a:xfrm>
              <a:off x="2098000" y="230175"/>
              <a:ext cx="135000" cy="81000"/>
            </a:xfrm>
            <a:custGeom>
              <a:avLst/>
              <a:gdLst>
                <a:gd name="connsiteX0" fmla="*/ 0 w 135000"/>
                <a:gd name="connsiteY0" fmla="*/ 0 h 81000"/>
                <a:gd name="connsiteX1" fmla="*/ 135000 w 135000"/>
                <a:gd name="connsiteY1" fmla="*/ 0 h 81000"/>
                <a:gd name="connsiteX2" fmla="*/ 135000 w 135000"/>
                <a:gd name="connsiteY2" fmla="*/ 81000 h 81000"/>
                <a:gd name="connsiteX3" fmla="*/ 0 w 135000"/>
                <a:gd name="connsiteY3" fmla="*/ 81000 h 81000"/>
              </a:gdLst>
              <a:ahLst/>
              <a:cxnLst>
                <a:cxn ang="0">
                  <a:pos x="connsiteX0" y="connsiteY0"/>
                </a:cxn>
                <a:cxn ang="0">
                  <a:pos x="connsiteX1" y="connsiteY1"/>
                </a:cxn>
                <a:cxn ang="0">
                  <a:pos x="connsiteX2" y="connsiteY2"/>
                </a:cxn>
                <a:cxn ang="0">
                  <a:pos x="connsiteX3" y="connsiteY3"/>
                </a:cxn>
              </a:cxnLst>
              <a:rect l="l" t="t" r="r" b="b"/>
              <a:pathLst>
                <a:path w="135000" h="81000">
                  <a:moveTo>
                    <a:pt x="0" y="0"/>
                  </a:moveTo>
                  <a:lnTo>
                    <a:pt x="135000" y="0"/>
                  </a:lnTo>
                  <a:lnTo>
                    <a:pt x="135000" y="81000"/>
                  </a:lnTo>
                  <a:lnTo>
                    <a:pt x="0" y="81000"/>
                  </a:lnTo>
                  <a:close/>
                </a:path>
              </a:pathLst>
            </a:custGeom>
            <a:ln/>
          </xdr:spPr>
          <xdr:style>
            <a:lnRef idx="0">
              <a:schemeClr val="dk1"/>
            </a:lnRef>
            <a:fillRef idx="3">
              <a:schemeClr val="dk1"/>
            </a:fillRef>
            <a:effectRef idx="3">
              <a:schemeClr val="dk1"/>
            </a:effectRef>
            <a:fontRef idx="minor">
              <a:schemeClr val="lt1"/>
            </a:fontRef>
          </xdr:style>
          <xdr:txBody>
            <a:bodyPr rtlCol="0" anchor="ctr"/>
            <a:lstStyle/>
            <a:p>
              <a:endParaRPr lang="nl-NL"/>
            </a:p>
          </xdr:txBody>
        </xdr:sp>
        <xdr:sp macro="" textlink="">
          <xdr:nvSpPr>
            <xdr:cNvPr id="56" name="Vrije vorm: vorm 10">
              <a:extLst>
                <a:ext uri="{FF2B5EF4-FFF2-40B4-BE49-F238E27FC236}">
                  <a16:creationId xmlns:a16="http://schemas.microsoft.com/office/drawing/2014/main" id="{00000000-0008-0000-0500-000038000000}"/>
                </a:ext>
              </a:extLst>
            </xdr:cNvPr>
            <xdr:cNvSpPr/>
          </xdr:nvSpPr>
          <xdr:spPr>
            <a:xfrm>
              <a:off x="1929925" y="118800"/>
              <a:ext cx="472499" cy="458999"/>
            </a:xfrm>
            <a:custGeom>
              <a:avLst/>
              <a:gdLst>
                <a:gd name="connsiteX0" fmla="*/ 397575 w 472499"/>
                <a:gd name="connsiteY0" fmla="*/ 68850 h 458999"/>
                <a:gd name="connsiteX1" fmla="*/ 234900 w 472499"/>
                <a:gd name="connsiteY1" fmla="*/ 0 h 458999"/>
                <a:gd name="connsiteX2" fmla="*/ 72225 w 472499"/>
                <a:gd name="connsiteY2" fmla="*/ 69525 h 458999"/>
                <a:gd name="connsiteX3" fmla="*/ 0 w 472499"/>
                <a:gd name="connsiteY3" fmla="*/ 251775 h 458999"/>
                <a:gd name="connsiteX4" fmla="*/ 0 w 472499"/>
                <a:gd name="connsiteY4" fmla="*/ 445500 h 458999"/>
                <a:gd name="connsiteX5" fmla="*/ 13500 w 472499"/>
                <a:gd name="connsiteY5" fmla="*/ 459000 h 458999"/>
                <a:gd name="connsiteX6" fmla="*/ 67500 w 472499"/>
                <a:gd name="connsiteY6" fmla="*/ 459000 h 458999"/>
                <a:gd name="connsiteX7" fmla="*/ 67500 w 472499"/>
                <a:gd name="connsiteY7" fmla="*/ 283500 h 458999"/>
                <a:gd name="connsiteX8" fmla="*/ 81000 w 472499"/>
                <a:gd name="connsiteY8" fmla="*/ 270000 h 458999"/>
                <a:gd name="connsiteX9" fmla="*/ 391500 w 472499"/>
                <a:gd name="connsiteY9" fmla="*/ 270000 h 458999"/>
                <a:gd name="connsiteX10" fmla="*/ 405000 w 472499"/>
                <a:gd name="connsiteY10" fmla="*/ 283500 h 458999"/>
                <a:gd name="connsiteX11" fmla="*/ 405000 w 472499"/>
                <a:gd name="connsiteY11" fmla="*/ 459000 h 458999"/>
                <a:gd name="connsiteX12" fmla="*/ 459000 w 472499"/>
                <a:gd name="connsiteY12" fmla="*/ 459000 h 458999"/>
                <a:gd name="connsiteX13" fmla="*/ 472500 w 472499"/>
                <a:gd name="connsiteY13" fmla="*/ 445500 h 458999"/>
                <a:gd name="connsiteX14" fmla="*/ 472500 w 472499"/>
                <a:gd name="connsiteY14" fmla="*/ 251100 h 458999"/>
                <a:gd name="connsiteX15" fmla="*/ 397575 w 472499"/>
                <a:gd name="connsiteY15" fmla="*/ 68850 h 458999"/>
                <a:gd name="connsiteX16" fmla="*/ 330075 w 472499"/>
                <a:gd name="connsiteY16" fmla="*/ 205875 h 458999"/>
                <a:gd name="connsiteX17" fmla="*/ 316575 w 472499"/>
                <a:gd name="connsiteY17" fmla="*/ 219375 h 458999"/>
                <a:gd name="connsiteX18" fmla="*/ 154575 w 472499"/>
                <a:gd name="connsiteY18" fmla="*/ 219375 h 458999"/>
                <a:gd name="connsiteX19" fmla="*/ 141075 w 472499"/>
                <a:gd name="connsiteY19" fmla="*/ 205875 h 458999"/>
                <a:gd name="connsiteX20" fmla="*/ 141075 w 472499"/>
                <a:gd name="connsiteY20" fmla="*/ 97875 h 458999"/>
                <a:gd name="connsiteX21" fmla="*/ 154575 w 472499"/>
                <a:gd name="connsiteY21" fmla="*/ 84375 h 458999"/>
                <a:gd name="connsiteX22" fmla="*/ 316575 w 472499"/>
                <a:gd name="connsiteY22" fmla="*/ 84375 h 458999"/>
                <a:gd name="connsiteX23" fmla="*/ 330075 w 472499"/>
                <a:gd name="connsiteY23" fmla="*/ 97875 h 458999"/>
                <a:gd name="connsiteX24" fmla="*/ 330075 w 472499"/>
                <a:gd name="connsiteY24" fmla="*/ 205875 h 4589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Lst>
              <a:rect l="l" t="t" r="r" b="b"/>
              <a:pathLst>
                <a:path w="472499" h="458999">
                  <a:moveTo>
                    <a:pt x="397575" y="68850"/>
                  </a:moveTo>
                  <a:lnTo>
                    <a:pt x="234900" y="0"/>
                  </a:lnTo>
                  <a:lnTo>
                    <a:pt x="72225" y="69525"/>
                  </a:lnTo>
                  <a:lnTo>
                    <a:pt x="0" y="251775"/>
                  </a:lnTo>
                  <a:lnTo>
                    <a:pt x="0" y="445500"/>
                  </a:lnTo>
                  <a:cubicBezTo>
                    <a:pt x="0" y="452925"/>
                    <a:pt x="6075" y="459000"/>
                    <a:pt x="13500" y="459000"/>
                  </a:cubicBezTo>
                  <a:lnTo>
                    <a:pt x="67500" y="459000"/>
                  </a:lnTo>
                  <a:lnTo>
                    <a:pt x="67500" y="283500"/>
                  </a:lnTo>
                  <a:cubicBezTo>
                    <a:pt x="67500" y="276075"/>
                    <a:pt x="73575" y="270000"/>
                    <a:pt x="81000" y="270000"/>
                  </a:cubicBezTo>
                  <a:lnTo>
                    <a:pt x="391500" y="270000"/>
                  </a:lnTo>
                  <a:cubicBezTo>
                    <a:pt x="398925" y="270000"/>
                    <a:pt x="405000" y="276075"/>
                    <a:pt x="405000" y="283500"/>
                  </a:cubicBezTo>
                  <a:lnTo>
                    <a:pt x="405000" y="459000"/>
                  </a:lnTo>
                  <a:lnTo>
                    <a:pt x="459000" y="459000"/>
                  </a:lnTo>
                  <a:cubicBezTo>
                    <a:pt x="466425" y="459000"/>
                    <a:pt x="472500" y="452925"/>
                    <a:pt x="472500" y="445500"/>
                  </a:cubicBezTo>
                  <a:lnTo>
                    <a:pt x="472500" y="251100"/>
                  </a:lnTo>
                  <a:lnTo>
                    <a:pt x="397575" y="68850"/>
                  </a:lnTo>
                  <a:close/>
                  <a:moveTo>
                    <a:pt x="330075" y="205875"/>
                  </a:moveTo>
                  <a:cubicBezTo>
                    <a:pt x="330075" y="213300"/>
                    <a:pt x="324000" y="219375"/>
                    <a:pt x="316575" y="219375"/>
                  </a:cubicBezTo>
                  <a:lnTo>
                    <a:pt x="154575" y="219375"/>
                  </a:lnTo>
                  <a:cubicBezTo>
                    <a:pt x="147150" y="219375"/>
                    <a:pt x="141075" y="213300"/>
                    <a:pt x="141075" y="205875"/>
                  </a:cubicBezTo>
                  <a:lnTo>
                    <a:pt x="141075" y="97875"/>
                  </a:lnTo>
                  <a:cubicBezTo>
                    <a:pt x="141075" y="90450"/>
                    <a:pt x="147150" y="84375"/>
                    <a:pt x="154575" y="84375"/>
                  </a:cubicBezTo>
                  <a:lnTo>
                    <a:pt x="316575" y="84375"/>
                  </a:lnTo>
                  <a:cubicBezTo>
                    <a:pt x="324000" y="84375"/>
                    <a:pt x="330075" y="90450"/>
                    <a:pt x="330075" y="97875"/>
                  </a:cubicBezTo>
                  <a:lnTo>
                    <a:pt x="330075" y="205875"/>
                  </a:lnTo>
                  <a:close/>
                </a:path>
              </a:pathLst>
            </a:custGeom>
            <a:ln/>
          </xdr:spPr>
          <xdr:style>
            <a:lnRef idx="0">
              <a:schemeClr val="dk1"/>
            </a:lnRef>
            <a:fillRef idx="3">
              <a:schemeClr val="dk1"/>
            </a:fillRef>
            <a:effectRef idx="3">
              <a:schemeClr val="dk1"/>
            </a:effectRef>
            <a:fontRef idx="minor">
              <a:schemeClr val="lt1"/>
            </a:fontRef>
          </xdr:style>
          <xdr:txBody>
            <a:bodyPr rtlCol="0" anchor="ctr"/>
            <a:lstStyle/>
            <a:p>
              <a:endParaRPr lang="nl-NL"/>
            </a:p>
          </xdr:txBody>
        </xdr:sp>
      </xdr:grpSp>
    </xdr:grpSp>
    <xdr:clientData/>
  </xdr:twoCellAnchor>
  <xdr:twoCellAnchor>
    <xdr:from>
      <xdr:col>1</xdr:col>
      <xdr:colOff>0</xdr:colOff>
      <xdr:row>0</xdr:row>
      <xdr:rowOff>63504</xdr:rowOff>
    </xdr:from>
    <xdr:to>
      <xdr:col>1</xdr:col>
      <xdr:colOff>1044000</xdr:colOff>
      <xdr:row>2</xdr:row>
      <xdr:rowOff>119066</xdr:rowOff>
    </xdr:to>
    <xdr:sp macro="" textlink="">
      <xdr:nvSpPr>
        <xdr:cNvPr id="26" name="Tekstvak 25">
          <a:hlinkClick xmlns:r="http://schemas.openxmlformats.org/officeDocument/2006/relationships" r:id="rId2"/>
          <a:extLst>
            <a:ext uri="{FF2B5EF4-FFF2-40B4-BE49-F238E27FC236}">
              <a16:creationId xmlns:a16="http://schemas.microsoft.com/office/drawing/2014/main" id="{00000000-0008-0000-0500-00001A000000}"/>
            </a:ext>
          </a:extLst>
        </xdr:cNvPr>
        <xdr:cNvSpPr txBox="1"/>
      </xdr:nvSpPr>
      <xdr:spPr>
        <a:xfrm>
          <a:off x="190500" y="63504"/>
          <a:ext cx="1044000" cy="420687"/>
        </a:xfrm>
        <a:prstGeom prst="homePlate">
          <a:avLst/>
        </a:prstGeom>
        <a:solidFill>
          <a:schemeClr val="bg1">
            <a:lumMod val="95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nl-NL" sz="1400" b="1"/>
            <a:t>Inleiding</a:t>
          </a:r>
        </a:p>
      </xdr:txBody>
    </xdr:sp>
    <xdr:clientData/>
  </xdr:twoCellAnchor>
  <xdr:twoCellAnchor>
    <xdr:from>
      <xdr:col>1</xdr:col>
      <xdr:colOff>1120771</xdr:colOff>
      <xdr:row>0</xdr:row>
      <xdr:rowOff>73023</xdr:rowOff>
    </xdr:from>
    <xdr:to>
      <xdr:col>2</xdr:col>
      <xdr:colOff>116896</xdr:colOff>
      <xdr:row>2</xdr:row>
      <xdr:rowOff>128585</xdr:rowOff>
    </xdr:to>
    <xdr:sp macro="" textlink="">
      <xdr:nvSpPr>
        <xdr:cNvPr id="27" name="Tekstvak 26">
          <a:hlinkClick xmlns:r="http://schemas.openxmlformats.org/officeDocument/2006/relationships" r:id="rId3"/>
          <a:extLst>
            <a:ext uri="{FF2B5EF4-FFF2-40B4-BE49-F238E27FC236}">
              <a16:creationId xmlns:a16="http://schemas.microsoft.com/office/drawing/2014/main" id="{00000000-0008-0000-0500-00001B000000}"/>
            </a:ext>
          </a:extLst>
        </xdr:cNvPr>
        <xdr:cNvSpPr txBox="1"/>
      </xdr:nvSpPr>
      <xdr:spPr>
        <a:xfrm>
          <a:off x="1311271" y="73023"/>
          <a:ext cx="1044000" cy="420687"/>
        </a:xfrm>
        <a:prstGeom prst="homePlate">
          <a:avLst/>
        </a:prstGeom>
        <a:solidFill>
          <a:schemeClr val="bg1">
            <a:lumMod val="95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nl-NL" sz="1400" b="1">
              <a:solidFill>
                <a:sysClr val="windowText" lastClr="000000"/>
              </a:solidFill>
            </a:rPr>
            <a:t>Extra</a:t>
          </a:r>
          <a:r>
            <a:rPr lang="nl-NL" sz="1400" b="1"/>
            <a:t> </a:t>
          </a:r>
          <a:r>
            <a:rPr lang="nl-NL" sz="1400" b="1">
              <a:solidFill>
                <a:sysClr val="windowText" lastClr="000000"/>
              </a:solidFill>
            </a:rPr>
            <a:t>land</a:t>
          </a:r>
        </a:p>
      </xdr:txBody>
    </xdr:sp>
    <xdr:clientData/>
  </xdr:twoCellAnchor>
  <xdr:twoCellAnchor>
    <xdr:from>
      <xdr:col>2</xdr:col>
      <xdr:colOff>182571</xdr:colOff>
      <xdr:row>0</xdr:row>
      <xdr:rowOff>79375</xdr:rowOff>
    </xdr:from>
    <xdr:to>
      <xdr:col>4</xdr:col>
      <xdr:colOff>155008</xdr:colOff>
      <xdr:row>2</xdr:row>
      <xdr:rowOff>134937</xdr:rowOff>
    </xdr:to>
    <xdr:sp macro="" textlink="">
      <xdr:nvSpPr>
        <xdr:cNvPr id="28" name="Tekstvak 27">
          <a:hlinkClick xmlns:r="http://schemas.openxmlformats.org/officeDocument/2006/relationships" r:id="rId4"/>
          <a:extLst>
            <a:ext uri="{FF2B5EF4-FFF2-40B4-BE49-F238E27FC236}">
              <a16:creationId xmlns:a16="http://schemas.microsoft.com/office/drawing/2014/main" id="{00000000-0008-0000-0500-00001C000000}"/>
            </a:ext>
          </a:extLst>
        </xdr:cNvPr>
        <xdr:cNvSpPr txBox="1"/>
      </xdr:nvSpPr>
      <xdr:spPr>
        <a:xfrm>
          <a:off x="2420946" y="79375"/>
          <a:ext cx="1044000" cy="420687"/>
        </a:xfrm>
        <a:prstGeom prst="homePlate">
          <a:avLst/>
        </a:prstGeom>
        <a:solidFill>
          <a:schemeClr val="bg1">
            <a:lumMod val="95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nl-NL" sz="1400" b="1"/>
            <a:t>Bouwplan</a:t>
          </a:r>
        </a:p>
      </xdr:txBody>
    </xdr:sp>
    <xdr:clientData/>
  </xdr:twoCellAnchor>
  <xdr:twoCellAnchor>
    <xdr:from>
      <xdr:col>4</xdr:col>
      <xdr:colOff>222280</xdr:colOff>
      <xdr:row>0</xdr:row>
      <xdr:rowOff>79375</xdr:rowOff>
    </xdr:from>
    <xdr:to>
      <xdr:col>5</xdr:col>
      <xdr:colOff>258218</xdr:colOff>
      <xdr:row>2</xdr:row>
      <xdr:rowOff>134937</xdr:rowOff>
    </xdr:to>
    <xdr:sp macro="" textlink="">
      <xdr:nvSpPr>
        <xdr:cNvPr id="29" name="Tekstvak 28">
          <a:hlinkClick xmlns:r="http://schemas.openxmlformats.org/officeDocument/2006/relationships" r:id="rId5"/>
          <a:extLst>
            <a:ext uri="{FF2B5EF4-FFF2-40B4-BE49-F238E27FC236}">
              <a16:creationId xmlns:a16="http://schemas.microsoft.com/office/drawing/2014/main" id="{00000000-0008-0000-0500-00001D000000}"/>
            </a:ext>
          </a:extLst>
        </xdr:cNvPr>
        <xdr:cNvSpPr txBox="1"/>
      </xdr:nvSpPr>
      <xdr:spPr>
        <a:xfrm>
          <a:off x="3532218" y="79375"/>
          <a:ext cx="1044000" cy="420687"/>
        </a:xfrm>
        <a:prstGeom prst="homePlate">
          <a:avLst/>
        </a:prstGeom>
        <a:solidFill>
          <a:schemeClr val="bg1">
            <a:lumMod val="95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nl-NL" sz="1400" b="1"/>
            <a:t>Voer</a:t>
          </a:r>
          <a:endParaRPr lang="nl-NL" sz="1600" b="1"/>
        </a:p>
      </xdr:txBody>
    </xdr:sp>
    <xdr:clientData/>
  </xdr:twoCellAnchor>
  <xdr:twoCellAnchor>
    <xdr:from>
      <xdr:col>5</xdr:col>
      <xdr:colOff>325447</xdr:colOff>
      <xdr:row>0</xdr:row>
      <xdr:rowOff>87313</xdr:rowOff>
    </xdr:from>
    <xdr:to>
      <xdr:col>6</xdr:col>
      <xdr:colOff>369322</xdr:colOff>
      <xdr:row>2</xdr:row>
      <xdr:rowOff>142875</xdr:rowOff>
    </xdr:to>
    <xdr:sp macro="" textlink="">
      <xdr:nvSpPr>
        <xdr:cNvPr id="30" name="Tekstvak 29">
          <a:hlinkClick xmlns:r="http://schemas.openxmlformats.org/officeDocument/2006/relationships" r:id="rId6"/>
          <a:extLst>
            <a:ext uri="{FF2B5EF4-FFF2-40B4-BE49-F238E27FC236}">
              <a16:creationId xmlns:a16="http://schemas.microsoft.com/office/drawing/2014/main" id="{00000000-0008-0000-0500-00001E000000}"/>
            </a:ext>
          </a:extLst>
        </xdr:cNvPr>
        <xdr:cNvSpPr txBox="1"/>
      </xdr:nvSpPr>
      <xdr:spPr>
        <a:xfrm>
          <a:off x="4643447" y="87313"/>
          <a:ext cx="1044000" cy="420687"/>
        </a:xfrm>
        <a:prstGeom prst="homePlate">
          <a:avLst/>
        </a:prstGeom>
        <a:solidFill>
          <a:schemeClr val="bg1">
            <a:lumMod val="95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nl-NL" sz="1050" b="1"/>
            <a:t>Melk-productie</a:t>
          </a:r>
          <a:endParaRPr lang="nl-NL" sz="1400" b="1"/>
        </a:p>
      </xdr:txBody>
    </xdr:sp>
    <xdr:clientData/>
  </xdr:twoCellAnchor>
  <xdr:twoCellAnchor>
    <xdr:from>
      <xdr:col>6</xdr:col>
      <xdr:colOff>438154</xdr:colOff>
      <xdr:row>0</xdr:row>
      <xdr:rowOff>88899</xdr:rowOff>
    </xdr:from>
    <xdr:to>
      <xdr:col>8</xdr:col>
      <xdr:colOff>259779</xdr:colOff>
      <xdr:row>2</xdr:row>
      <xdr:rowOff>144461</xdr:rowOff>
    </xdr:to>
    <xdr:sp macro="" textlink="">
      <xdr:nvSpPr>
        <xdr:cNvPr id="31" name="Tekstvak 30">
          <a:hlinkClick xmlns:r="http://schemas.openxmlformats.org/officeDocument/2006/relationships" r:id="rId7"/>
          <a:extLst>
            <a:ext uri="{FF2B5EF4-FFF2-40B4-BE49-F238E27FC236}">
              <a16:creationId xmlns:a16="http://schemas.microsoft.com/office/drawing/2014/main" id="{00000000-0008-0000-0500-00001F000000}"/>
            </a:ext>
          </a:extLst>
        </xdr:cNvPr>
        <xdr:cNvSpPr txBox="1"/>
      </xdr:nvSpPr>
      <xdr:spPr>
        <a:xfrm>
          <a:off x="5756279" y="88899"/>
          <a:ext cx="1044000" cy="420687"/>
        </a:xfrm>
        <a:prstGeom prst="homePlate">
          <a:avLst/>
        </a:prstGeom>
        <a:solidFill>
          <a:schemeClr val="accent2">
            <a:lumMod val="60000"/>
            <a:lumOff val="40000"/>
          </a:schemeClr>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nl-NL" sz="1000" b="1"/>
            <a:t>Toegerekende kosten</a:t>
          </a:r>
        </a:p>
      </xdr:txBody>
    </xdr:sp>
    <xdr:clientData/>
  </xdr:twoCellAnchor>
  <xdr:twoCellAnchor>
    <xdr:from>
      <xdr:col>8</xdr:col>
      <xdr:colOff>328619</xdr:colOff>
      <xdr:row>0</xdr:row>
      <xdr:rowOff>98421</xdr:rowOff>
    </xdr:from>
    <xdr:to>
      <xdr:col>10</xdr:col>
      <xdr:colOff>150244</xdr:colOff>
      <xdr:row>2</xdr:row>
      <xdr:rowOff>153983</xdr:rowOff>
    </xdr:to>
    <xdr:sp macro="" textlink="">
      <xdr:nvSpPr>
        <xdr:cNvPr id="32" name="Tekstvak 31">
          <a:hlinkClick xmlns:r="http://schemas.openxmlformats.org/officeDocument/2006/relationships" r:id="rId1"/>
          <a:extLst>
            <a:ext uri="{FF2B5EF4-FFF2-40B4-BE49-F238E27FC236}">
              <a16:creationId xmlns:a16="http://schemas.microsoft.com/office/drawing/2014/main" id="{00000000-0008-0000-0500-000020000000}"/>
            </a:ext>
          </a:extLst>
        </xdr:cNvPr>
        <xdr:cNvSpPr txBox="1"/>
      </xdr:nvSpPr>
      <xdr:spPr>
        <a:xfrm>
          <a:off x="6869119" y="98421"/>
          <a:ext cx="1044000" cy="420687"/>
        </a:xfrm>
        <a:prstGeom prst="homePlate">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nl-NL" sz="1400" b="1"/>
            <a:t>Resultaat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27027</xdr:colOff>
      <xdr:row>8</xdr:row>
      <xdr:rowOff>17519</xdr:rowOff>
    </xdr:from>
    <xdr:to>
      <xdr:col>3</xdr:col>
      <xdr:colOff>171027</xdr:colOff>
      <xdr:row>8</xdr:row>
      <xdr:rowOff>161519</xdr:rowOff>
    </xdr:to>
    <xdr:sp macro="" textlink="">
      <xdr:nvSpPr>
        <xdr:cNvPr id="4" name="Kruis 3">
          <a:extLst>
            <a:ext uri="{FF2B5EF4-FFF2-40B4-BE49-F238E27FC236}">
              <a16:creationId xmlns:a16="http://schemas.microsoft.com/office/drawing/2014/main" id="{00000000-0008-0000-0600-000004000000}"/>
            </a:ext>
          </a:extLst>
        </xdr:cNvPr>
        <xdr:cNvSpPr/>
      </xdr:nvSpPr>
      <xdr:spPr>
        <a:xfrm>
          <a:off x="3824815" y="982231"/>
          <a:ext cx="144000" cy="144000"/>
        </a:xfrm>
        <a:prstGeom prst="plus">
          <a:avLst>
            <a:gd name="adj" fmla="val 41443"/>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twoCellAnchor>
    <xdr:from>
      <xdr:col>3</xdr:col>
      <xdr:colOff>24050</xdr:colOff>
      <xdr:row>11</xdr:row>
      <xdr:rowOff>14553</xdr:rowOff>
    </xdr:from>
    <xdr:to>
      <xdr:col>3</xdr:col>
      <xdr:colOff>168050</xdr:colOff>
      <xdr:row>11</xdr:row>
      <xdr:rowOff>158553</xdr:rowOff>
    </xdr:to>
    <xdr:sp macro="" textlink="">
      <xdr:nvSpPr>
        <xdr:cNvPr id="5" name="Kruis 4">
          <a:extLst>
            <a:ext uri="{FF2B5EF4-FFF2-40B4-BE49-F238E27FC236}">
              <a16:creationId xmlns:a16="http://schemas.microsoft.com/office/drawing/2014/main" id="{00000000-0008-0000-0600-000005000000}"/>
            </a:ext>
          </a:extLst>
        </xdr:cNvPr>
        <xdr:cNvSpPr/>
      </xdr:nvSpPr>
      <xdr:spPr>
        <a:xfrm>
          <a:off x="3821838" y="1443303"/>
          <a:ext cx="144000" cy="144000"/>
        </a:xfrm>
        <a:prstGeom prst="plus">
          <a:avLst>
            <a:gd name="adj" fmla="val 41443"/>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twoCellAnchor>
    <xdr:from>
      <xdr:col>3</xdr:col>
      <xdr:colOff>27833</xdr:colOff>
      <xdr:row>14</xdr:row>
      <xdr:rowOff>14956</xdr:rowOff>
    </xdr:from>
    <xdr:to>
      <xdr:col>3</xdr:col>
      <xdr:colOff>171833</xdr:colOff>
      <xdr:row>14</xdr:row>
      <xdr:rowOff>158956</xdr:rowOff>
    </xdr:to>
    <xdr:sp macro="" textlink="">
      <xdr:nvSpPr>
        <xdr:cNvPr id="6" name="Kruis 5">
          <a:extLst>
            <a:ext uri="{FF2B5EF4-FFF2-40B4-BE49-F238E27FC236}">
              <a16:creationId xmlns:a16="http://schemas.microsoft.com/office/drawing/2014/main" id="{00000000-0008-0000-0600-000006000000}"/>
            </a:ext>
          </a:extLst>
        </xdr:cNvPr>
        <xdr:cNvSpPr/>
      </xdr:nvSpPr>
      <xdr:spPr>
        <a:xfrm>
          <a:off x="3825621" y="1907744"/>
          <a:ext cx="144000" cy="144000"/>
        </a:xfrm>
        <a:prstGeom prst="plus">
          <a:avLst>
            <a:gd name="adj" fmla="val 41443"/>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twoCellAnchor>
    <xdr:from>
      <xdr:col>3</xdr:col>
      <xdr:colOff>24859</xdr:colOff>
      <xdr:row>17</xdr:row>
      <xdr:rowOff>15363</xdr:rowOff>
    </xdr:from>
    <xdr:to>
      <xdr:col>3</xdr:col>
      <xdr:colOff>168859</xdr:colOff>
      <xdr:row>17</xdr:row>
      <xdr:rowOff>159363</xdr:rowOff>
    </xdr:to>
    <xdr:sp macro="" textlink="">
      <xdr:nvSpPr>
        <xdr:cNvPr id="7" name="Kruis 6">
          <a:extLst>
            <a:ext uri="{FF2B5EF4-FFF2-40B4-BE49-F238E27FC236}">
              <a16:creationId xmlns:a16="http://schemas.microsoft.com/office/drawing/2014/main" id="{00000000-0008-0000-0600-000007000000}"/>
            </a:ext>
          </a:extLst>
        </xdr:cNvPr>
        <xdr:cNvSpPr/>
      </xdr:nvSpPr>
      <xdr:spPr>
        <a:xfrm>
          <a:off x="3822647" y="2372190"/>
          <a:ext cx="144000" cy="144000"/>
        </a:xfrm>
        <a:prstGeom prst="plus">
          <a:avLst>
            <a:gd name="adj" fmla="val 41443"/>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twoCellAnchor>
    <xdr:from>
      <xdr:col>3</xdr:col>
      <xdr:colOff>19860</xdr:colOff>
      <xdr:row>19</xdr:row>
      <xdr:rowOff>12700</xdr:rowOff>
    </xdr:from>
    <xdr:to>
      <xdr:col>3</xdr:col>
      <xdr:colOff>184150</xdr:colOff>
      <xdr:row>20</xdr:row>
      <xdr:rowOff>25400</xdr:rowOff>
    </xdr:to>
    <xdr:sp macro="" textlink="">
      <xdr:nvSpPr>
        <xdr:cNvPr id="9" name="Is gelijk aan 8">
          <a:extLst>
            <a:ext uri="{FF2B5EF4-FFF2-40B4-BE49-F238E27FC236}">
              <a16:creationId xmlns:a16="http://schemas.microsoft.com/office/drawing/2014/main" id="{00000000-0008-0000-0600-000009000000}"/>
            </a:ext>
          </a:extLst>
        </xdr:cNvPr>
        <xdr:cNvSpPr/>
      </xdr:nvSpPr>
      <xdr:spPr>
        <a:xfrm>
          <a:off x="3353610" y="3263900"/>
          <a:ext cx="164290" cy="228600"/>
        </a:xfrm>
        <a:prstGeom prst="mathEqual">
          <a:avLst>
            <a:gd name="adj1" fmla="val 14138"/>
            <a:gd name="adj2" fmla="val 16450"/>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solidFill>
              <a:schemeClr val="tx1"/>
            </a:solidFill>
          </a:endParaRPr>
        </a:p>
      </xdr:txBody>
    </xdr:sp>
    <xdr:clientData/>
  </xdr:twoCellAnchor>
  <xdr:twoCellAnchor>
    <xdr:from>
      <xdr:col>1</xdr:col>
      <xdr:colOff>0</xdr:colOff>
      <xdr:row>0</xdr:row>
      <xdr:rowOff>63504</xdr:rowOff>
    </xdr:from>
    <xdr:to>
      <xdr:col>1</xdr:col>
      <xdr:colOff>1044000</xdr:colOff>
      <xdr:row>2</xdr:row>
      <xdr:rowOff>119066</xdr:rowOff>
    </xdr:to>
    <xdr:sp macro="" textlink="">
      <xdr:nvSpPr>
        <xdr:cNvPr id="8" name="Tekstvak 7">
          <a:hlinkClick xmlns:r="http://schemas.openxmlformats.org/officeDocument/2006/relationships" r:id="rId1"/>
          <a:extLst>
            <a:ext uri="{FF2B5EF4-FFF2-40B4-BE49-F238E27FC236}">
              <a16:creationId xmlns:a16="http://schemas.microsoft.com/office/drawing/2014/main" id="{00000000-0008-0000-0600-000008000000}"/>
            </a:ext>
          </a:extLst>
        </xdr:cNvPr>
        <xdr:cNvSpPr txBox="1"/>
      </xdr:nvSpPr>
      <xdr:spPr>
        <a:xfrm>
          <a:off x="246063" y="63504"/>
          <a:ext cx="1044000" cy="420687"/>
        </a:xfrm>
        <a:prstGeom prst="homePlate">
          <a:avLst/>
        </a:prstGeom>
        <a:solidFill>
          <a:schemeClr val="bg1">
            <a:lumMod val="95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nl-NL" sz="1400" b="1"/>
            <a:t>Inleiding</a:t>
          </a:r>
        </a:p>
      </xdr:txBody>
    </xdr:sp>
    <xdr:clientData/>
  </xdr:twoCellAnchor>
  <xdr:twoCellAnchor>
    <xdr:from>
      <xdr:col>1</xdr:col>
      <xdr:colOff>1120771</xdr:colOff>
      <xdr:row>0</xdr:row>
      <xdr:rowOff>73023</xdr:rowOff>
    </xdr:from>
    <xdr:to>
      <xdr:col>2</xdr:col>
      <xdr:colOff>13709</xdr:colOff>
      <xdr:row>2</xdr:row>
      <xdr:rowOff>128585</xdr:rowOff>
    </xdr:to>
    <xdr:sp macro="" textlink="">
      <xdr:nvSpPr>
        <xdr:cNvPr id="10" name="Tekstvak 9">
          <a:hlinkClick xmlns:r="http://schemas.openxmlformats.org/officeDocument/2006/relationships" r:id="rId2"/>
          <a:extLst>
            <a:ext uri="{FF2B5EF4-FFF2-40B4-BE49-F238E27FC236}">
              <a16:creationId xmlns:a16="http://schemas.microsoft.com/office/drawing/2014/main" id="{00000000-0008-0000-0600-00000A000000}"/>
            </a:ext>
          </a:extLst>
        </xdr:cNvPr>
        <xdr:cNvSpPr txBox="1"/>
      </xdr:nvSpPr>
      <xdr:spPr>
        <a:xfrm>
          <a:off x="1366834" y="73023"/>
          <a:ext cx="1044000" cy="420687"/>
        </a:xfrm>
        <a:prstGeom prst="homePlate">
          <a:avLst/>
        </a:prstGeom>
        <a:solidFill>
          <a:schemeClr val="bg1">
            <a:lumMod val="95000"/>
          </a:schemeClr>
        </a:solidFill>
        <a:ln w="63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nl-NL" sz="1400" b="1">
              <a:solidFill>
                <a:sysClr val="windowText" lastClr="000000"/>
              </a:solidFill>
            </a:rPr>
            <a:t>Extra</a:t>
          </a:r>
          <a:r>
            <a:rPr lang="nl-NL" sz="1400" b="1"/>
            <a:t> </a:t>
          </a:r>
          <a:r>
            <a:rPr lang="nl-NL" sz="1400" b="1">
              <a:solidFill>
                <a:sysClr val="windowText" lastClr="000000"/>
              </a:solidFill>
            </a:rPr>
            <a:t>land</a:t>
          </a:r>
        </a:p>
      </xdr:txBody>
    </xdr:sp>
    <xdr:clientData/>
  </xdr:twoCellAnchor>
  <xdr:twoCellAnchor>
    <xdr:from>
      <xdr:col>2</xdr:col>
      <xdr:colOff>79384</xdr:colOff>
      <xdr:row>0</xdr:row>
      <xdr:rowOff>79375</xdr:rowOff>
    </xdr:from>
    <xdr:to>
      <xdr:col>3</xdr:col>
      <xdr:colOff>186759</xdr:colOff>
      <xdr:row>2</xdr:row>
      <xdr:rowOff>134937</xdr:rowOff>
    </xdr:to>
    <xdr:sp macro="" textlink="">
      <xdr:nvSpPr>
        <xdr:cNvPr id="11" name="Tekstvak 10">
          <a:hlinkClick xmlns:r="http://schemas.openxmlformats.org/officeDocument/2006/relationships" r:id="rId3"/>
          <a:extLst>
            <a:ext uri="{FF2B5EF4-FFF2-40B4-BE49-F238E27FC236}">
              <a16:creationId xmlns:a16="http://schemas.microsoft.com/office/drawing/2014/main" id="{00000000-0008-0000-0600-00000B000000}"/>
            </a:ext>
          </a:extLst>
        </xdr:cNvPr>
        <xdr:cNvSpPr txBox="1"/>
      </xdr:nvSpPr>
      <xdr:spPr>
        <a:xfrm>
          <a:off x="2476509" y="79375"/>
          <a:ext cx="1044000" cy="420687"/>
        </a:xfrm>
        <a:prstGeom prst="homePlate">
          <a:avLst/>
        </a:prstGeom>
        <a:solidFill>
          <a:schemeClr val="bg1">
            <a:lumMod val="95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nl-NL" sz="1400" b="1"/>
            <a:t>Bouwplan</a:t>
          </a:r>
        </a:p>
      </xdr:txBody>
    </xdr:sp>
    <xdr:clientData/>
  </xdr:twoCellAnchor>
  <xdr:twoCellAnchor>
    <xdr:from>
      <xdr:col>4</xdr:col>
      <xdr:colOff>55593</xdr:colOff>
      <xdr:row>0</xdr:row>
      <xdr:rowOff>79375</xdr:rowOff>
    </xdr:from>
    <xdr:to>
      <xdr:col>4</xdr:col>
      <xdr:colOff>1099593</xdr:colOff>
      <xdr:row>2</xdr:row>
      <xdr:rowOff>134937</xdr:rowOff>
    </xdr:to>
    <xdr:sp macro="" textlink="">
      <xdr:nvSpPr>
        <xdr:cNvPr id="12" name="Tekstvak 11">
          <a:hlinkClick xmlns:r="http://schemas.openxmlformats.org/officeDocument/2006/relationships" r:id="rId4"/>
          <a:extLst>
            <a:ext uri="{FF2B5EF4-FFF2-40B4-BE49-F238E27FC236}">
              <a16:creationId xmlns:a16="http://schemas.microsoft.com/office/drawing/2014/main" id="{00000000-0008-0000-0600-00000C000000}"/>
            </a:ext>
          </a:extLst>
        </xdr:cNvPr>
        <xdr:cNvSpPr txBox="1"/>
      </xdr:nvSpPr>
      <xdr:spPr>
        <a:xfrm>
          <a:off x="3587781" y="79375"/>
          <a:ext cx="1044000" cy="420687"/>
        </a:xfrm>
        <a:prstGeom prst="homePlate">
          <a:avLst/>
        </a:prstGeom>
        <a:solidFill>
          <a:schemeClr val="bg1">
            <a:lumMod val="95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nl-NL" sz="1400" b="1"/>
            <a:t>Voer</a:t>
          </a:r>
          <a:endParaRPr lang="nl-NL" sz="1600" b="1"/>
        </a:p>
      </xdr:txBody>
    </xdr:sp>
    <xdr:clientData/>
  </xdr:twoCellAnchor>
  <xdr:twoCellAnchor>
    <xdr:from>
      <xdr:col>4</xdr:col>
      <xdr:colOff>1166822</xdr:colOff>
      <xdr:row>0</xdr:row>
      <xdr:rowOff>87313</xdr:rowOff>
    </xdr:from>
    <xdr:to>
      <xdr:col>4</xdr:col>
      <xdr:colOff>2210822</xdr:colOff>
      <xdr:row>2</xdr:row>
      <xdr:rowOff>142875</xdr:rowOff>
    </xdr:to>
    <xdr:sp macro="" textlink="">
      <xdr:nvSpPr>
        <xdr:cNvPr id="13" name="Tekstvak 12">
          <a:hlinkClick xmlns:r="http://schemas.openxmlformats.org/officeDocument/2006/relationships" r:id="rId5"/>
          <a:extLst>
            <a:ext uri="{FF2B5EF4-FFF2-40B4-BE49-F238E27FC236}">
              <a16:creationId xmlns:a16="http://schemas.microsoft.com/office/drawing/2014/main" id="{00000000-0008-0000-0600-00000D000000}"/>
            </a:ext>
          </a:extLst>
        </xdr:cNvPr>
        <xdr:cNvSpPr txBox="1"/>
      </xdr:nvSpPr>
      <xdr:spPr>
        <a:xfrm>
          <a:off x="4699010" y="87313"/>
          <a:ext cx="1044000" cy="420687"/>
        </a:xfrm>
        <a:prstGeom prst="homePlate">
          <a:avLst/>
        </a:prstGeom>
        <a:solidFill>
          <a:schemeClr val="bg1">
            <a:lumMod val="95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nl-NL" sz="1050" b="1"/>
            <a:t>Melk-productie</a:t>
          </a:r>
          <a:endParaRPr lang="nl-NL" sz="1400" b="1"/>
        </a:p>
      </xdr:txBody>
    </xdr:sp>
    <xdr:clientData/>
  </xdr:twoCellAnchor>
  <xdr:twoCellAnchor>
    <xdr:from>
      <xdr:col>4</xdr:col>
      <xdr:colOff>2279654</xdr:colOff>
      <xdr:row>0</xdr:row>
      <xdr:rowOff>88899</xdr:rowOff>
    </xdr:from>
    <xdr:to>
      <xdr:col>4</xdr:col>
      <xdr:colOff>3323654</xdr:colOff>
      <xdr:row>2</xdr:row>
      <xdr:rowOff>144461</xdr:rowOff>
    </xdr:to>
    <xdr:sp macro="" textlink="">
      <xdr:nvSpPr>
        <xdr:cNvPr id="14" name="Tekstvak 13">
          <a:hlinkClick xmlns:r="http://schemas.openxmlformats.org/officeDocument/2006/relationships" r:id="rId6"/>
          <a:extLst>
            <a:ext uri="{FF2B5EF4-FFF2-40B4-BE49-F238E27FC236}">
              <a16:creationId xmlns:a16="http://schemas.microsoft.com/office/drawing/2014/main" id="{00000000-0008-0000-0600-00000E000000}"/>
            </a:ext>
          </a:extLst>
        </xdr:cNvPr>
        <xdr:cNvSpPr txBox="1"/>
      </xdr:nvSpPr>
      <xdr:spPr>
        <a:xfrm>
          <a:off x="5811842" y="88899"/>
          <a:ext cx="1044000" cy="420687"/>
        </a:xfrm>
        <a:prstGeom prst="homePlate">
          <a:avLst/>
        </a:prstGeom>
        <a:solidFill>
          <a:schemeClr val="bg1">
            <a:lumMod val="95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nl-NL" sz="1000" b="1"/>
            <a:t>Toegerekende kosten</a:t>
          </a:r>
        </a:p>
      </xdr:txBody>
    </xdr:sp>
    <xdr:clientData/>
  </xdr:twoCellAnchor>
  <xdr:twoCellAnchor>
    <xdr:from>
      <xdr:col>4</xdr:col>
      <xdr:colOff>3392494</xdr:colOff>
      <xdr:row>0</xdr:row>
      <xdr:rowOff>98421</xdr:rowOff>
    </xdr:from>
    <xdr:to>
      <xdr:col>7</xdr:col>
      <xdr:colOff>189932</xdr:colOff>
      <xdr:row>2</xdr:row>
      <xdr:rowOff>153983</xdr:rowOff>
    </xdr:to>
    <xdr:sp macro="" textlink="">
      <xdr:nvSpPr>
        <xdr:cNvPr id="15" name="Tekstvak 14">
          <a:hlinkClick xmlns:r="http://schemas.openxmlformats.org/officeDocument/2006/relationships" r:id="rId7"/>
          <a:extLst>
            <a:ext uri="{FF2B5EF4-FFF2-40B4-BE49-F238E27FC236}">
              <a16:creationId xmlns:a16="http://schemas.microsoft.com/office/drawing/2014/main" id="{00000000-0008-0000-0600-00000F000000}"/>
            </a:ext>
          </a:extLst>
        </xdr:cNvPr>
        <xdr:cNvSpPr txBox="1"/>
      </xdr:nvSpPr>
      <xdr:spPr>
        <a:xfrm>
          <a:off x="6924682" y="98421"/>
          <a:ext cx="1044000" cy="420687"/>
        </a:xfrm>
        <a:prstGeom prst="homePlate">
          <a:avLst/>
        </a:prstGeom>
        <a:solidFill>
          <a:schemeClr val="accent2">
            <a:lumMod val="60000"/>
            <a:lumOff val="40000"/>
          </a:schemeClr>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nl-NL" sz="1400" b="1"/>
            <a:t>Resultaat</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59267</xdr:colOff>
      <xdr:row>1</xdr:row>
      <xdr:rowOff>33868</xdr:rowOff>
    </xdr:from>
    <xdr:to>
      <xdr:col>1</xdr:col>
      <xdr:colOff>531438</xdr:colOff>
      <xdr:row>2</xdr:row>
      <xdr:rowOff>159139</xdr:rowOff>
    </xdr:to>
    <xdr:sp macro="" textlink="">
      <xdr:nvSpPr>
        <xdr:cNvPr id="8" name="Pijl: rechts 29">
          <a:hlinkClick xmlns:r="http://schemas.openxmlformats.org/officeDocument/2006/relationships" r:id="rId1"/>
          <a:extLst>
            <a:ext uri="{FF2B5EF4-FFF2-40B4-BE49-F238E27FC236}">
              <a16:creationId xmlns:a16="http://schemas.microsoft.com/office/drawing/2014/main" id="{00000000-0008-0000-0700-000008000000}"/>
            </a:ext>
          </a:extLst>
        </xdr:cNvPr>
        <xdr:cNvSpPr/>
      </xdr:nvSpPr>
      <xdr:spPr>
        <a:xfrm flipH="1">
          <a:off x="254000" y="228601"/>
          <a:ext cx="472171" cy="311538"/>
        </a:xfrm>
        <a:prstGeom prst="rightArrow">
          <a:avLst/>
        </a:prstGeom>
      </xdr:spPr>
      <xdr:style>
        <a:lnRef idx="0">
          <a:schemeClr val="dk1"/>
        </a:lnRef>
        <a:fillRef idx="3">
          <a:schemeClr val="dk1"/>
        </a:fillRef>
        <a:effectRef idx="3">
          <a:schemeClr val="dk1"/>
        </a:effectRef>
        <a:fontRef idx="minor">
          <a:schemeClr val="lt1"/>
        </a:fontRef>
      </xdr:style>
      <xdr:txBody>
        <a:bodyPr vertOverflow="clip" horzOverflow="clip" rtlCol="0" anchor="t"/>
        <a:lstStyle/>
        <a:p>
          <a:pPr algn="l"/>
          <a:endParaRPr lang="nl-NL" sz="1100"/>
        </a:p>
      </xdr:txBody>
    </xdr:sp>
    <xdr:clientData/>
  </xdr:twoCellAnchor>
  <mc:AlternateContent xmlns:mc="http://schemas.openxmlformats.org/markup-compatibility/2006">
    <mc:Choice xmlns:a14="http://schemas.microsoft.com/office/drawing/2010/main" Requires="a14">
      <xdr:twoCellAnchor editAs="oneCell">
        <xdr:from>
          <xdr:col>1</xdr:col>
          <xdr:colOff>7620</xdr:colOff>
          <xdr:row>9</xdr:row>
          <xdr:rowOff>7620</xdr:rowOff>
        </xdr:from>
        <xdr:to>
          <xdr:col>1</xdr:col>
          <xdr:colOff>1752600</xdr:colOff>
          <xdr:row>10</xdr:row>
          <xdr:rowOff>0</xdr:rowOff>
        </xdr:to>
        <xdr:sp macro="" textlink="">
          <xdr:nvSpPr>
            <xdr:cNvPr id="60423" name="Check Box 7" hidden="1">
              <a:extLst>
                <a:ext uri="{63B3BB69-23CF-44E3-9099-C40C66FF867C}">
                  <a14:compatExt spid="_x0000_s60423"/>
                </a:ext>
                <a:ext uri="{FF2B5EF4-FFF2-40B4-BE49-F238E27FC236}">
                  <a16:creationId xmlns:a16="http://schemas.microsoft.com/office/drawing/2014/main" id="{00000000-0008-0000-0700-00000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NL" sz="800" b="0" i="0" u="none" strike="noStrike" baseline="0">
                  <a:solidFill>
                    <a:srgbClr val="000000"/>
                  </a:solidFill>
                  <a:latin typeface="Segoe UI"/>
                  <a:cs typeface="Segoe UI"/>
                </a:rPr>
                <a:t>Fosfaatrechten (ver)leasen</a:t>
              </a:r>
            </a:p>
          </xdr:txBody>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1</xdr:col>
      <xdr:colOff>47628</xdr:colOff>
      <xdr:row>1</xdr:row>
      <xdr:rowOff>55564</xdr:rowOff>
    </xdr:from>
    <xdr:to>
      <xdr:col>1</xdr:col>
      <xdr:colOff>515628</xdr:colOff>
      <xdr:row>2</xdr:row>
      <xdr:rowOff>125002</xdr:rowOff>
    </xdr:to>
    <xdr:sp macro="" textlink="">
      <xdr:nvSpPr>
        <xdr:cNvPr id="4" name="Pijl: rechts 24">
          <a:hlinkClick xmlns:r="http://schemas.openxmlformats.org/officeDocument/2006/relationships" r:id="rId1"/>
          <a:extLst>
            <a:ext uri="{FF2B5EF4-FFF2-40B4-BE49-F238E27FC236}">
              <a16:creationId xmlns:a16="http://schemas.microsoft.com/office/drawing/2014/main" id="{00000000-0008-0000-0800-000004000000}"/>
            </a:ext>
          </a:extLst>
        </xdr:cNvPr>
        <xdr:cNvSpPr>
          <a:spLocks/>
        </xdr:cNvSpPr>
      </xdr:nvSpPr>
      <xdr:spPr>
        <a:xfrm flipH="1">
          <a:off x="238128" y="238127"/>
          <a:ext cx="468000" cy="252000"/>
        </a:xfrm>
        <a:prstGeom prst="rightArrow">
          <a:avLst/>
        </a:prstGeom>
      </xdr:spPr>
      <xdr:style>
        <a:lnRef idx="0">
          <a:schemeClr val="dk1"/>
        </a:lnRef>
        <a:fillRef idx="3">
          <a:schemeClr val="dk1"/>
        </a:fillRef>
        <a:effectRef idx="3">
          <a:schemeClr val="dk1"/>
        </a:effectRef>
        <a:fontRef idx="minor">
          <a:schemeClr val="lt1"/>
        </a:fontRef>
      </xdr:style>
      <xdr:txBody>
        <a:bodyPr vertOverflow="clip" horzOverflow="clip" rtlCol="0" anchor="t"/>
        <a:lstStyle/>
        <a:p>
          <a:pPr algn="l"/>
          <a:endParaRPr lang="nl-NL" sz="1100"/>
        </a:p>
      </xdr:txBody>
    </xdr:sp>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sz="1100"/>
        </a:defPPr>
      </a:lstStyle>
      <a:style>
        <a:lnRef idx="0">
          <a:schemeClr val="dk1"/>
        </a:lnRef>
        <a:fillRef idx="3">
          <a:schemeClr val="dk1"/>
        </a:fillRef>
        <a:effectRef idx="3">
          <a:schemeClr val="dk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4.xml"/><Relationship Id="rId1" Type="http://schemas.openxmlformats.org/officeDocument/2006/relationships/printerSettings" Target="../printerSettings/printerSettings14.bin"/><Relationship Id="rId6" Type="http://schemas.openxmlformats.org/officeDocument/2006/relationships/comments" Target="../comments1.xml"/><Relationship Id="rId5" Type="http://schemas.openxmlformats.org/officeDocument/2006/relationships/ctrlProp" Target="../ctrlProps/ctrlProp28.xml"/><Relationship Id="rId4" Type="http://schemas.openxmlformats.org/officeDocument/2006/relationships/ctrlProp" Target="../ctrlProps/ctrlProp27.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5.xml"/><Relationship Id="rId1" Type="http://schemas.openxmlformats.org/officeDocument/2006/relationships/printerSettings" Target="../printerSettings/printerSettings15.bin"/><Relationship Id="rId6" Type="http://schemas.openxmlformats.org/officeDocument/2006/relationships/comments" Target="../comments2.xml"/><Relationship Id="rId5" Type="http://schemas.openxmlformats.org/officeDocument/2006/relationships/ctrlProp" Target="../ctrlProps/ctrlProp30.xml"/><Relationship Id="rId4" Type="http://schemas.openxmlformats.org/officeDocument/2006/relationships/ctrlProp" Target="../ctrlProps/ctrlProp29.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6.xml"/><Relationship Id="rId1" Type="http://schemas.openxmlformats.org/officeDocument/2006/relationships/printerSettings" Target="../printerSettings/printerSettings16.bin"/><Relationship Id="rId6" Type="http://schemas.openxmlformats.org/officeDocument/2006/relationships/comments" Target="../comments3.xml"/><Relationship Id="rId5" Type="http://schemas.openxmlformats.org/officeDocument/2006/relationships/ctrlProp" Target="../ctrlProps/ctrlProp32.xml"/><Relationship Id="rId4" Type="http://schemas.openxmlformats.org/officeDocument/2006/relationships/ctrlProp" Target="../ctrlProps/ctrlProp31.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7.xml"/><Relationship Id="rId1" Type="http://schemas.openxmlformats.org/officeDocument/2006/relationships/printerSettings" Target="../printerSettings/printerSettings17.bin"/><Relationship Id="rId6" Type="http://schemas.openxmlformats.org/officeDocument/2006/relationships/comments" Target="../comments4.xml"/><Relationship Id="rId5" Type="http://schemas.openxmlformats.org/officeDocument/2006/relationships/ctrlProp" Target="../ctrlProps/ctrlProp34.xml"/><Relationship Id="rId4" Type="http://schemas.openxmlformats.org/officeDocument/2006/relationships/ctrlProp" Target="../ctrlProps/ctrlProp33.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8.xml"/><Relationship Id="rId1" Type="http://schemas.openxmlformats.org/officeDocument/2006/relationships/printerSettings" Target="../printerSettings/printerSettings18.bin"/><Relationship Id="rId6" Type="http://schemas.openxmlformats.org/officeDocument/2006/relationships/comments" Target="../comments5.xml"/><Relationship Id="rId5" Type="http://schemas.openxmlformats.org/officeDocument/2006/relationships/ctrlProp" Target="../ctrlProps/ctrlProp36.xml"/><Relationship Id="rId4" Type="http://schemas.openxmlformats.org/officeDocument/2006/relationships/ctrlProp" Target="../ctrlProps/ctrlProp35.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9.xml"/><Relationship Id="rId1" Type="http://schemas.openxmlformats.org/officeDocument/2006/relationships/printerSettings" Target="../printerSettings/printerSettings19.bin"/><Relationship Id="rId6" Type="http://schemas.openxmlformats.org/officeDocument/2006/relationships/comments" Target="../comments6.xml"/><Relationship Id="rId5" Type="http://schemas.openxmlformats.org/officeDocument/2006/relationships/ctrlProp" Target="../ctrlProps/ctrlProp38.xml"/><Relationship Id="rId4" Type="http://schemas.openxmlformats.org/officeDocument/2006/relationships/ctrlProp" Target="../ctrlProps/ctrlProp37.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20.xml"/><Relationship Id="rId1" Type="http://schemas.openxmlformats.org/officeDocument/2006/relationships/printerSettings" Target="../printerSettings/printerSettings20.bin"/><Relationship Id="rId6" Type="http://schemas.openxmlformats.org/officeDocument/2006/relationships/comments" Target="../comments7.xml"/><Relationship Id="rId5" Type="http://schemas.openxmlformats.org/officeDocument/2006/relationships/ctrlProp" Target="../ctrlProps/ctrlProp40.xml"/><Relationship Id="rId4" Type="http://schemas.openxmlformats.org/officeDocument/2006/relationships/ctrlProp" Target="../ctrlProps/ctrlProp39.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21.xml"/><Relationship Id="rId1" Type="http://schemas.openxmlformats.org/officeDocument/2006/relationships/printerSettings" Target="../printerSettings/printerSettings21.bin"/><Relationship Id="rId6" Type="http://schemas.openxmlformats.org/officeDocument/2006/relationships/comments" Target="../comments8.xml"/><Relationship Id="rId5" Type="http://schemas.openxmlformats.org/officeDocument/2006/relationships/ctrlProp" Target="../ctrlProps/ctrlProp42.xml"/><Relationship Id="rId4" Type="http://schemas.openxmlformats.org/officeDocument/2006/relationships/ctrlProp" Target="../ctrlProps/ctrlProp41.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22.xml"/><Relationship Id="rId1" Type="http://schemas.openxmlformats.org/officeDocument/2006/relationships/printerSettings" Target="../printerSettings/printerSettings22.bin"/><Relationship Id="rId6" Type="http://schemas.openxmlformats.org/officeDocument/2006/relationships/comments" Target="../comments9.xml"/><Relationship Id="rId5" Type="http://schemas.openxmlformats.org/officeDocument/2006/relationships/ctrlProp" Target="../ctrlProps/ctrlProp44.xml"/><Relationship Id="rId4" Type="http://schemas.openxmlformats.org/officeDocument/2006/relationships/ctrlProp" Target="../ctrlProps/ctrlProp43.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24.xml"/><Relationship Id="rId1" Type="http://schemas.openxmlformats.org/officeDocument/2006/relationships/printerSettings" Target="../printerSettings/printerSettings24.bin"/><Relationship Id="rId6" Type="http://schemas.openxmlformats.org/officeDocument/2006/relationships/comments" Target="../comments10.xml"/><Relationship Id="rId5" Type="http://schemas.openxmlformats.org/officeDocument/2006/relationships/ctrlProp" Target="../ctrlProps/ctrlProp46.xml"/><Relationship Id="rId4" Type="http://schemas.openxmlformats.org/officeDocument/2006/relationships/ctrlProp" Target="../ctrlProps/ctrlProp45.xml"/></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25.xml"/><Relationship Id="rId1" Type="http://schemas.openxmlformats.org/officeDocument/2006/relationships/printerSettings" Target="../printerSettings/printerSettings25.bin"/><Relationship Id="rId6" Type="http://schemas.openxmlformats.org/officeDocument/2006/relationships/comments" Target="../comments11.xml"/><Relationship Id="rId5" Type="http://schemas.openxmlformats.org/officeDocument/2006/relationships/ctrlProp" Target="../ctrlProps/ctrlProp48.xml"/><Relationship Id="rId4" Type="http://schemas.openxmlformats.org/officeDocument/2006/relationships/ctrlProp" Target="../ctrlProps/ctrlProp47.xml"/></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26.xml"/><Relationship Id="rId1" Type="http://schemas.openxmlformats.org/officeDocument/2006/relationships/printerSettings" Target="../printerSettings/printerSettings26.bin"/><Relationship Id="rId6" Type="http://schemas.openxmlformats.org/officeDocument/2006/relationships/comments" Target="../comments12.xml"/><Relationship Id="rId5" Type="http://schemas.openxmlformats.org/officeDocument/2006/relationships/ctrlProp" Target="../ctrlProps/ctrlProp50.xml"/><Relationship Id="rId4" Type="http://schemas.openxmlformats.org/officeDocument/2006/relationships/ctrlProp" Target="../ctrlProps/ctrlProp49.xml"/></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27.xml"/><Relationship Id="rId1" Type="http://schemas.openxmlformats.org/officeDocument/2006/relationships/printerSettings" Target="../printerSettings/printerSettings27.bin"/><Relationship Id="rId6" Type="http://schemas.openxmlformats.org/officeDocument/2006/relationships/comments" Target="../comments13.xml"/><Relationship Id="rId5" Type="http://schemas.openxmlformats.org/officeDocument/2006/relationships/ctrlProp" Target="../ctrlProps/ctrlProp52.xml"/><Relationship Id="rId4" Type="http://schemas.openxmlformats.org/officeDocument/2006/relationships/ctrlProp" Target="../ctrlProps/ctrlProp51.xml"/></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18.vml"/><Relationship Id="rId7" Type="http://schemas.openxmlformats.org/officeDocument/2006/relationships/comments" Target="../comments14.xml"/><Relationship Id="rId2" Type="http://schemas.openxmlformats.org/officeDocument/2006/relationships/drawing" Target="../drawings/drawing29.xml"/><Relationship Id="rId1" Type="http://schemas.openxmlformats.org/officeDocument/2006/relationships/printerSettings" Target="../printerSettings/printerSettings29.bin"/><Relationship Id="rId6" Type="http://schemas.openxmlformats.org/officeDocument/2006/relationships/ctrlProp" Target="../ctrlProps/ctrlProp55.xml"/><Relationship Id="rId5" Type="http://schemas.openxmlformats.org/officeDocument/2006/relationships/ctrlProp" Target="../ctrlProps/ctrlProp54.xml"/><Relationship Id="rId4" Type="http://schemas.openxmlformats.org/officeDocument/2006/relationships/ctrlProp" Target="../ctrlProps/ctrlProp53.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19.vml"/><Relationship Id="rId7" Type="http://schemas.openxmlformats.org/officeDocument/2006/relationships/comments" Target="../comments15.xml"/><Relationship Id="rId2" Type="http://schemas.openxmlformats.org/officeDocument/2006/relationships/drawing" Target="../drawings/drawing30.xml"/><Relationship Id="rId1" Type="http://schemas.openxmlformats.org/officeDocument/2006/relationships/printerSettings" Target="../printerSettings/printerSettings30.bin"/><Relationship Id="rId6" Type="http://schemas.openxmlformats.org/officeDocument/2006/relationships/ctrlProp" Target="../ctrlProps/ctrlProp58.xml"/><Relationship Id="rId5" Type="http://schemas.openxmlformats.org/officeDocument/2006/relationships/ctrlProp" Target="../ctrlProps/ctrlProp57.xml"/><Relationship Id="rId4" Type="http://schemas.openxmlformats.org/officeDocument/2006/relationships/ctrlProp" Target="../ctrlProps/ctrlProp56.xml"/></Relationships>
</file>

<file path=xl/worksheets/_rels/sheet31.xml.rels><?xml version="1.0" encoding="UTF-8" standalone="yes"?>
<Relationships xmlns="http://schemas.openxmlformats.org/package/2006/relationships"><Relationship Id="rId3" Type="http://schemas.openxmlformats.org/officeDocument/2006/relationships/vmlDrawing" Target="../drawings/vmlDrawing20.vml"/><Relationship Id="rId7" Type="http://schemas.openxmlformats.org/officeDocument/2006/relationships/comments" Target="../comments16.xml"/><Relationship Id="rId2" Type="http://schemas.openxmlformats.org/officeDocument/2006/relationships/drawing" Target="../drawings/drawing31.xml"/><Relationship Id="rId1" Type="http://schemas.openxmlformats.org/officeDocument/2006/relationships/printerSettings" Target="../printerSettings/printerSettings31.bin"/><Relationship Id="rId6" Type="http://schemas.openxmlformats.org/officeDocument/2006/relationships/ctrlProp" Target="../ctrlProps/ctrlProp61.xml"/><Relationship Id="rId5" Type="http://schemas.openxmlformats.org/officeDocument/2006/relationships/ctrlProp" Target="../ctrlProps/ctrlProp60.xml"/><Relationship Id="rId4" Type="http://schemas.openxmlformats.org/officeDocument/2006/relationships/ctrlProp" Target="../ctrlProps/ctrlProp59.xml"/></Relationships>
</file>

<file path=xl/worksheets/_rels/sheet32.xml.rels><?xml version="1.0" encoding="UTF-8" standalone="yes"?>
<Relationships xmlns="http://schemas.openxmlformats.org/package/2006/relationships"><Relationship Id="rId3" Type="http://schemas.openxmlformats.org/officeDocument/2006/relationships/vmlDrawing" Target="../drawings/vmlDrawing21.vml"/><Relationship Id="rId7" Type="http://schemas.openxmlformats.org/officeDocument/2006/relationships/comments" Target="../comments17.xml"/><Relationship Id="rId2" Type="http://schemas.openxmlformats.org/officeDocument/2006/relationships/drawing" Target="../drawings/drawing32.xml"/><Relationship Id="rId1" Type="http://schemas.openxmlformats.org/officeDocument/2006/relationships/printerSettings" Target="../printerSettings/printerSettings32.bin"/><Relationship Id="rId6" Type="http://schemas.openxmlformats.org/officeDocument/2006/relationships/ctrlProp" Target="../ctrlProps/ctrlProp64.xml"/><Relationship Id="rId5" Type="http://schemas.openxmlformats.org/officeDocument/2006/relationships/ctrlProp" Target="../ctrlProps/ctrlProp63.xml"/><Relationship Id="rId4" Type="http://schemas.openxmlformats.org/officeDocument/2006/relationships/ctrlProp" Target="../ctrlProps/ctrlProp62.xml"/></Relationships>
</file>

<file path=xl/worksheets/_rels/sheet33.xml.rels><?xml version="1.0" encoding="UTF-8" standalone="yes"?>
<Relationships xmlns="http://schemas.openxmlformats.org/package/2006/relationships"><Relationship Id="rId3" Type="http://schemas.openxmlformats.org/officeDocument/2006/relationships/vmlDrawing" Target="../drawings/vmlDrawing22.vml"/><Relationship Id="rId7" Type="http://schemas.openxmlformats.org/officeDocument/2006/relationships/comments" Target="../comments18.xml"/><Relationship Id="rId2" Type="http://schemas.openxmlformats.org/officeDocument/2006/relationships/drawing" Target="../drawings/drawing33.xml"/><Relationship Id="rId1" Type="http://schemas.openxmlformats.org/officeDocument/2006/relationships/printerSettings" Target="../printerSettings/printerSettings33.bin"/><Relationship Id="rId6" Type="http://schemas.openxmlformats.org/officeDocument/2006/relationships/ctrlProp" Target="../ctrlProps/ctrlProp67.xml"/><Relationship Id="rId5" Type="http://schemas.openxmlformats.org/officeDocument/2006/relationships/ctrlProp" Target="../ctrlProps/ctrlProp66.xml"/><Relationship Id="rId4" Type="http://schemas.openxmlformats.org/officeDocument/2006/relationships/ctrlProp" Target="../ctrlProps/ctrlProp65.xml"/></Relationships>
</file>

<file path=xl/worksheets/_rels/sheet34.xml.rels><?xml version="1.0" encoding="UTF-8" standalone="yes"?>
<Relationships xmlns="http://schemas.openxmlformats.org/package/2006/relationships"><Relationship Id="rId3" Type="http://schemas.openxmlformats.org/officeDocument/2006/relationships/vmlDrawing" Target="../drawings/vmlDrawing23.vml"/><Relationship Id="rId7" Type="http://schemas.openxmlformats.org/officeDocument/2006/relationships/comments" Target="../comments19.xml"/><Relationship Id="rId2" Type="http://schemas.openxmlformats.org/officeDocument/2006/relationships/drawing" Target="../drawings/drawing34.xml"/><Relationship Id="rId1" Type="http://schemas.openxmlformats.org/officeDocument/2006/relationships/printerSettings" Target="../printerSettings/printerSettings34.bin"/><Relationship Id="rId6" Type="http://schemas.openxmlformats.org/officeDocument/2006/relationships/ctrlProp" Target="../ctrlProps/ctrlProp70.xml"/><Relationship Id="rId5" Type="http://schemas.openxmlformats.org/officeDocument/2006/relationships/ctrlProp" Target="../ctrlProps/ctrlProp69.xml"/><Relationship Id="rId4" Type="http://schemas.openxmlformats.org/officeDocument/2006/relationships/ctrlProp" Target="../ctrlProps/ctrlProp68.xml"/></Relationships>
</file>

<file path=xl/worksheets/_rels/sheet35.xml.rels><?xml version="1.0" encoding="UTF-8" standalone="yes"?>
<Relationships xmlns="http://schemas.openxmlformats.org/package/2006/relationships"><Relationship Id="rId3" Type="http://schemas.openxmlformats.org/officeDocument/2006/relationships/vmlDrawing" Target="../drawings/vmlDrawing24.vml"/><Relationship Id="rId7" Type="http://schemas.openxmlformats.org/officeDocument/2006/relationships/comments" Target="../comments20.xml"/><Relationship Id="rId2" Type="http://schemas.openxmlformats.org/officeDocument/2006/relationships/drawing" Target="../drawings/drawing35.xml"/><Relationship Id="rId1" Type="http://schemas.openxmlformats.org/officeDocument/2006/relationships/printerSettings" Target="../printerSettings/printerSettings35.bin"/><Relationship Id="rId6" Type="http://schemas.openxmlformats.org/officeDocument/2006/relationships/ctrlProp" Target="../ctrlProps/ctrlProp73.xml"/><Relationship Id="rId5" Type="http://schemas.openxmlformats.org/officeDocument/2006/relationships/ctrlProp" Target="../ctrlProps/ctrlProp72.xml"/><Relationship Id="rId4" Type="http://schemas.openxmlformats.org/officeDocument/2006/relationships/ctrlProp" Target="../ctrlProps/ctrlProp71.xml"/></Relationships>
</file>

<file path=xl/worksheets/_rels/sheet36.xml.rels><?xml version="1.0" encoding="UTF-8" standalone="yes"?>
<Relationships xmlns="http://schemas.openxmlformats.org/package/2006/relationships"><Relationship Id="rId3" Type="http://schemas.openxmlformats.org/officeDocument/2006/relationships/vmlDrawing" Target="../drawings/vmlDrawing25.vml"/><Relationship Id="rId7" Type="http://schemas.openxmlformats.org/officeDocument/2006/relationships/comments" Target="../comments21.xml"/><Relationship Id="rId2" Type="http://schemas.openxmlformats.org/officeDocument/2006/relationships/drawing" Target="../drawings/drawing36.xml"/><Relationship Id="rId1" Type="http://schemas.openxmlformats.org/officeDocument/2006/relationships/printerSettings" Target="../printerSettings/printerSettings36.bin"/><Relationship Id="rId6" Type="http://schemas.openxmlformats.org/officeDocument/2006/relationships/ctrlProp" Target="../ctrlProps/ctrlProp76.xml"/><Relationship Id="rId5" Type="http://schemas.openxmlformats.org/officeDocument/2006/relationships/ctrlProp" Target="../ctrlProps/ctrlProp75.xml"/><Relationship Id="rId4" Type="http://schemas.openxmlformats.org/officeDocument/2006/relationships/ctrlProp" Target="../ctrlProps/ctrlProp74.xml"/></Relationships>
</file>

<file path=xl/worksheets/_rels/sheet37.xml.rels><?xml version="1.0" encoding="UTF-8" standalone="yes"?>
<Relationships xmlns="http://schemas.openxmlformats.org/package/2006/relationships"><Relationship Id="rId3" Type="http://schemas.openxmlformats.org/officeDocument/2006/relationships/vmlDrawing" Target="../drawings/vmlDrawing26.vml"/><Relationship Id="rId7" Type="http://schemas.openxmlformats.org/officeDocument/2006/relationships/comments" Target="../comments22.xml"/><Relationship Id="rId2" Type="http://schemas.openxmlformats.org/officeDocument/2006/relationships/drawing" Target="../drawings/drawing37.xml"/><Relationship Id="rId1" Type="http://schemas.openxmlformats.org/officeDocument/2006/relationships/printerSettings" Target="../printerSettings/printerSettings37.bin"/><Relationship Id="rId6" Type="http://schemas.openxmlformats.org/officeDocument/2006/relationships/ctrlProp" Target="../ctrlProps/ctrlProp79.xml"/><Relationship Id="rId5" Type="http://schemas.openxmlformats.org/officeDocument/2006/relationships/ctrlProp" Target="../ctrlProps/ctrlProp78.xml"/><Relationship Id="rId4" Type="http://schemas.openxmlformats.org/officeDocument/2006/relationships/ctrlProp" Target="../ctrlProps/ctrlProp77.xml"/></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3" Type="http://schemas.openxmlformats.org/officeDocument/2006/relationships/vmlDrawing" Target="../drawings/vmlDrawing27.vml"/><Relationship Id="rId7" Type="http://schemas.openxmlformats.org/officeDocument/2006/relationships/comments" Target="../comments23.xml"/><Relationship Id="rId2" Type="http://schemas.openxmlformats.org/officeDocument/2006/relationships/drawing" Target="../drawings/drawing39.xml"/><Relationship Id="rId1" Type="http://schemas.openxmlformats.org/officeDocument/2006/relationships/printerSettings" Target="../printerSettings/printerSettings39.bin"/><Relationship Id="rId6" Type="http://schemas.openxmlformats.org/officeDocument/2006/relationships/ctrlProp" Target="../ctrlProps/ctrlProp82.xml"/><Relationship Id="rId5" Type="http://schemas.openxmlformats.org/officeDocument/2006/relationships/ctrlProp" Target="../ctrlProps/ctrlProp81.xml"/><Relationship Id="rId4" Type="http://schemas.openxmlformats.org/officeDocument/2006/relationships/ctrlProp" Target="../ctrlProps/ctrlProp80.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3" Type="http://schemas.openxmlformats.org/officeDocument/2006/relationships/vmlDrawing" Target="../drawings/vmlDrawing28.vml"/><Relationship Id="rId7" Type="http://schemas.openxmlformats.org/officeDocument/2006/relationships/comments" Target="../comments24.xml"/><Relationship Id="rId2" Type="http://schemas.openxmlformats.org/officeDocument/2006/relationships/drawing" Target="../drawings/drawing40.xml"/><Relationship Id="rId1" Type="http://schemas.openxmlformats.org/officeDocument/2006/relationships/printerSettings" Target="../printerSettings/printerSettings40.bin"/><Relationship Id="rId6" Type="http://schemas.openxmlformats.org/officeDocument/2006/relationships/ctrlProp" Target="../ctrlProps/ctrlProp85.xml"/><Relationship Id="rId5" Type="http://schemas.openxmlformats.org/officeDocument/2006/relationships/ctrlProp" Target="../ctrlProps/ctrlProp84.xml"/><Relationship Id="rId4" Type="http://schemas.openxmlformats.org/officeDocument/2006/relationships/ctrlProp" Target="../ctrlProps/ctrlProp83.xml"/></Relationships>
</file>

<file path=xl/worksheets/_rels/sheet41.xml.rels><?xml version="1.0" encoding="UTF-8" standalone="yes"?>
<Relationships xmlns="http://schemas.openxmlformats.org/package/2006/relationships"><Relationship Id="rId3" Type="http://schemas.openxmlformats.org/officeDocument/2006/relationships/vmlDrawing" Target="../drawings/vmlDrawing29.vml"/><Relationship Id="rId7" Type="http://schemas.openxmlformats.org/officeDocument/2006/relationships/comments" Target="../comments25.xml"/><Relationship Id="rId2" Type="http://schemas.openxmlformats.org/officeDocument/2006/relationships/drawing" Target="../drawings/drawing41.xml"/><Relationship Id="rId1" Type="http://schemas.openxmlformats.org/officeDocument/2006/relationships/printerSettings" Target="../printerSettings/printerSettings41.bin"/><Relationship Id="rId6" Type="http://schemas.openxmlformats.org/officeDocument/2006/relationships/ctrlProp" Target="../ctrlProps/ctrlProp88.xml"/><Relationship Id="rId5" Type="http://schemas.openxmlformats.org/officeDocument/2006/relationships/ctrlProp" Target="../ctrlProps/ctrlProp87.xml"/><Relationship Id="rId4" Type="http://schemas.openxmlformats.org/officeDocument/2006/relationships/ctrlProp" Target="../ctrlProps/ctrlProp86.xml"/></Relationships>
</file>

<file path=xl/worksheets/_rels/sheet42.xml.rels><?xml version="1.0" encoding="UTF-8" standalone="yes"?>
<Relationships xmlns="http://schemas.openxmlformats.org/package/2006/relationships"><Relationship Id="rId3" Type="http://schemas.openxmlformats.org/officeDocument/2006/relationships/vmlDrawing" Target="../drawings/vmlDrawing30.vml"/><Relationship Id="rId7" Type="http://schemas.openxmlformats.org/officeDocument/2006/relationships/comments" Target="../comments26.xml"/><Relationship Id="rId2" Type="http://schemas.openxmlformats.org/officeDocument/2006/relationships/drawing" Target="../drawings/drawing42.xml"/><Relationship Id="rId1" Type="http://schemas.openxmlformats.org/officeDocument/2006/relationships/printerSettings" Target="../printerSettings/printerSettings42.bin"/><Relationship Id="rId6" Type="http://schemas.openxmlformats.org/officeDocument/2006/relationships/ctrlProp" Target="../ctrlProps/ctrlProp91.xml"/><Relationship Id="rId5" Type="http://schemas.openxmlformats.org/officeDocument/2006/relationships/ctrlProp" Target="../ctrlProps/ctrlProp90.xml"/><Relationship Id="rId4" Type="http://schemas.openxmlformats.org/officeDocument/2006/relationships/ctrlProp" Target="../ctrlProps/ctrlProp89.xml"/></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4.xml"/><Relationship Id="rId13" Type="http://schemas.openxmlformats.org/officeDocument/2006/relationships/ctrlProp" Target="../ctrlProps/ctrlProp19.xml"/><Relationship Id="rId3" Type="http://schemas.openxmlformats.org/officeDocument/2006/relationships/vmlDrawing" Target="../drawings/vmlDrawing2.vml"/><Relationship Id="rId7" Type="http://schemas.openxmlformats.org/officeDocument/2006/relationships/ctrlProp" Target="../ctrlProps/ctrlProp13.xml"/><Relationship Id="rId12" Type="http://schemas.openxmlformats.org/officeDocument/2006/relationships/ctrlProp" Target="../ctrlProps/ctrlProp18.xml"/><Relationship Id="rId17" Type="http://schemas.openxmlformats.org/officeDocument/2006/relationships/ctrlProp" Target="../ctrlProps/ctrlProp23.xml"/><Relationship Id="rId2" Type="http://schemas.openxmlformats.org/officeDocument/2006/relationships/drawing" Target="../drawings/drawing5.xml"/><Relationship Id="rId16" Type="http://schemas.openxmlformats.org/officeDocument/2006/relationships/ctrlProp" Target="../ctrlProps/ctrlProp22.xml"/><Relationship Id="rId1" Type="http://schemas.openxmlformats.org/officeDocument/2006/relationships/printerSettings" Target="../printerSettings/printerSettings5.bin"/><Relationship Id="rId6" Type="http://schemas.openxmlformats.org/officeDocument/2006/relationships/ctrlProp" Target="../ctrlProps/ctrlProp12.xml"/><Relationship Id="rId11" Type="http://schemas.openxmlformats.org/officeDocument/2006/relationships/ctrlProp" Target="../ctrlProps/ctrlProp17.xml"/><Relationship Id="rId5" Type="http://schemas.openxmlformats.org/officeDocument/2006/relationships/ctrlProp" Target="../ctrlProps/ctrlProp11.xml"/><Relationship Id="rId15" Type="http://schemas.openxmlformats.org/officeDocument/2006/relationships/ctrlProp" Target="../ctrlProps/ctrlProp21.xml"/><Relationship Id="rId10" Type="http://schemas.openxmlformats.org/officeDocument/2006/relationships/ctrlProp" Target="../ctrlProps/ctrlProp16.xml"/><Relationship Id="rId4" Type="http://schemas.openxmlformats.org/officeDocument/2006/relationships/ctrlProp" Target="../ctrlProps/ctrlProp10.xml"/><Relationship Id="rId9" Type="http://schemas.openxmlformats.org/officeDocument/2006/relationships/ctrlProp" Target="../ctrlProps/ctrlProp15.xml"/><Relationship Id="rId14" Type="http://schemas.openxmlformats.org/officeDocument/2006/relationships/ctrlProp" Target="../ctrlProps/ctrlProp20.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ctrlProp" Target="../ctrlProps/ctrlProp25.xml"/><Relationship Id="rId4" Type="http://schemas.openxmlformats.org/officeDocument/2006/relationships/ctrlProp" Target="../ctrlProps/ctrlProp2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C62D84-12DE-4E71-95AC-4393953107E0}">
  <sheetPr codeName="Blad2">
    <tabColor theme="2" tint="-9.9978637043366805E-2"/>
  </sheetPr>
  <dimension ref="B1:AB52"/>
  <sheetViews>
    <sheetView tabSelected="1" zoomScale="80" zoomScaleNormal="80" workbookViewId="0">
      <selection activeCell="U5" sqref="U5"/>
    </sheetView>
  </sheetViews>
  <sheetFormatPr defaultColWidth="8.77734375" defaultRowHeight="14.4" x14ac:dyDescent="0.3"/>
  <cols>
    <col min="1" max="1" width="2.77734375" style="4" customWidth="1"/>
    <col min="2" max="2" width="8.77734375" style="4" bestFit="1"/>
    <col min="3" max="12" width="8.77734375" style="4"/>
    <col min="13" max="13" width="6.6640625" style="4" customWidth="1"/>
    <col min="14" max="14" width="10.88671875" style="4" customWidth="1"/>
    <col min="15" max="15" width="9.88671875" style="4" customWidth="1"/>
    <col min="16" max="16" width="4.109375" style="4" customWidth="1"/>
    <col min="17" max="17" width="5" style="4" customWidth="1"/>
    <col min="18" max="18" width="7.44140625" style="4" customWidth="1"/>
    <col min="19" max="19" width="7.5546875" style="4" customWidth="1"/>
    <col min="20" max="16384" width="8.77734375" style="4"/>
  </cols>
  <sheetData>
    <row r="1" spans="2:28" ht="15" customHeight="1" thickBot="1" x14ac:dyDescent="0.35">
      <c r="B1" s="5"/>
      <c r="AB1" s="4" t="s">
        <v>55</v>
      </c>
    </row>
    <row r="2" spans="2:28" ht="15" customHeight="1" x14ac:dyDescent="0.3">
      <c r="B2" s="318" t="s">
        <v>200</v>
      </c>
      <c r="C2" s="319"/>
      <c r="D2" s="319"/>
      <c r="E2" s="319"/>
      <c r="F2" s="319"/>
      <c r="G2" s="319"/>
      <c r="H2" s="319"/>
      <c r="I2" s="319"/>
      <c r="J2" s="319"/>
      <c r="K2" s="319"/>
      <c r="L2" s="319"/>
      <c r="M2" s="319"/>
      <c r="N2" s="319"/>
      <c r="O2" s="320"/>
    </row>
    <row r="3" spans="2:28" ht="15" customHeight="1" x14ac:dyDescent="0.3">
      <c r="B3" s="321"/>
      <c r="C3" s="322"/>
      <c r="D3" s="322"/>
      <c r="E3" s="322"/>
      <c r="F3" s="322"/>
      <c r="G3" s="322"/>
      <c r="H3" s="322"/>
      <c r="I3" s="322"/>
      <c r="J3" s="322"/>
      <c r="K3" s="322"/>
      <c r="L3" s="322"/>
      <c r="M3" s="322"/>
      <c r="N3" s="322"/>
      <c r="O3" s="323"/>
    </row>
    <row r="4" spans="2:28" ht="15" customHeight="1" thickBot="1" x14ac:dyDescent="0.35">
      <c r="B4" s="324"/>
      <c r="C4" s="325"/>
      <c r="D4" s="325"/>
      <c r="E4" s="325"/>
      <c r="F4" s="325"/>
      <c r="G4" s="325"/>
      <c r="H4" s="325"/>
      <c r="I4" s="325"/>
      <c r="J4" s="325"/>
      <c r="K4" s="325"/>
      <c r="L4" s="325"/>
      <c r="M4" s="325"/>
      <c r="N4" s="325"/>
      <c r="O4" s="326"/>
    </row>
    <row r="5" spans="2:28" ht="7.5" customHeight="1" x14ac:dyDescent="0.3">
      <c r="B5" s="232"/>
      <c r="C5" s="161"/>
      <c r="D5" s="161"/>
      <c r="E5" s="161"/>
      <c r="F5" s="161"/>
      <c r="G5" s="161"/>
      <c r="H5" s="161"/>
      <c r="I5" s="161"/>
      <c r="J5" s="161"/>
      <c r="K5" s="161"/>
      <c r="L5" s="161"/>
      <c r="M5" s="161"/>
      <c r="N5" s="161"/>
      <c r="O5" s="233"/>
      <c r="Q5" s="161"/>
      <c r="R5" s="161"/>
      <c r="S5" s="161"/>
    </row>
    <row r="6" spans="2:28" ht="14.55" customHeight="1" x14ac:dyDescent="0.3">
      <c r="B6" s="327" t="s">
        <v>201</v>
      </c>
      <c r="C6" s="328"/>
      <c r="D6" s="328"/>
      <c r="E6" s="328"/>
      <c r="F6" s="328"/>
      <c r="G6" s="328"/>
      <c r="H6" s="328"/>
      <c r="I6" s="328"/>
      <c r="J6" s="328"/>
      <c r="K6" s="328"/>
      <c r="L6" s="328"/>
      <c r="M6" s="328"/>
      <c r="N6" s="328"/>
      <c r="O6" s="329"/>
      <c r="Q6" s="161"/>
      <c r="R6" s="161"/>
      <c r="S6" s="161"/>
    </row>
    <row r="7" spans="2:28" x14ac:dyDescent="0.3">
      <c r="B7" s="327"/>
      <c r="C7" s="328"/>
      <c r="D7" s="328"/>
      <c r="E7" s="328"/>
      <c r="F7" s="328"/>
      <c r="G7" s="328"/>
      <c r="H7" s="328"/>
      <c r="I7" s="328"/>
      <c r="J7" s="328"/>
      <c r="K7" s="328"/>
      <c r="L7" s="328"/>
      <c r="M7" s="328"/>
      <c r="N7" s="328"/>
      <c r="O7" s="329"/>
      <c r="Q7" s="161"/>
      <c r="R7" s="161"/>
      <c r="S7" s="161"/>
    </row>
    <row r="8" spans="2:28" ht="14.55" customHeight="1" x14ac:dyDescent="0.3">
      <c r="B8" s="327"/>
      <c r="C8" s="328"/>
      <c r="D8" s="328"/>
      <c r="E8" s="328"/>
      <c r="F8" s="328"/>
      <c r="G8" s="328"/>
      <c r="H8" s="328"/>
      <c r="I8" s="328"/>
      <c r="J8" s="328"/>
      <c r="K8" s="328"/>
      <c r="L8" s="328"/>
      <c r="M8" s="328"/>
      <c r="N8" s="328"/>
      <c r="O8" s="329"/>
      <c r="Q8" s="161"/>
      <c r="R8" s="161"/>
      <c r="S8" s="161"/>
    </row>
    <row r="9" spans="2:28" ht="7.5" customHeight="1" x14ac:dyDescent="0.3">
      <c r="B9" s="232"/>
      <c r="C9" s="161"/>
      <c r="D9" s="161"/>
      <c r="E9" s="161"/>
      <c r="F9" s="161"/>
      <c r="G9" s="161"/>
      <c r="H9" s="161"/>
      <c r="I9" s="161"/>
      <c r="J9" s="161"/>
      <c r="K9" s="161"/>
      <c r="L9" s="161"/>
      <c r="M9" s="161"/>
      <c r="N9" s="161"/>
      <c r="O9" s="233"/>
      <c r="Q9" s="161"/>
      <c r="R9" s="161"/>
      <c r="S9" s="161"/>
    </row>
    <row r="10" spans="2:28" ht="14.55" customHeight="1" x14ac:dyDescent="0.3">
      <c r="B10" s="327" t="s">
        <v>202</v>
      </c>
      <c r="C10" s="328"/>
      <c r="D10" s="328"/>
      <c r="E10" s="328"/>
      <c r="F10" s="328"/>
      <c r="G10" s="328"/>
      <c r="H10" s="328"/>
      <c r="I10" s="328"/>
      <c r="J10" s="328"/>
      <c r="K10" s="328"/>
      <c r="L10" s="328"/>
      <c r="M10" s="328"/>
      <c r="N10" s="328"/>
      <c r="O10" s="329"/>
      <c r="Q10" s="161"/>
      <c r="R10" s="161"/>
      <c r="S10" s="161"/>
      <c r="W10" s="4" t="s">
        <v>55</v>
      </c>
    </row>
    <row r="11" spans="2:28" x14ac:dyDescent="0.3">
      <c r="B11" s="327"/>
      <c r="C11" s="328"/>
      <c r="D11" s="328"/>
      <c r="E11" s="328"/>
      <c r="F11" s="328"/>
      <c r="G11" s="328"/>
      <c r="H11" s="328"/>
      <c r="I11" s="328"/>
      <c r="J11" s="328"/>
      <c r="K11" s="328"/>
      <c r="L11" s="328"/>
      <c r="M11" s="328"/>
      <c r="N11" s="328"/>
      <c r="O11" s="329"/>
      <c r="Q11" s="161"/>
      <c r="R11" s="161"/>
      <c r="S11" s="161"/>
    </row>
    <row r="12" spans="2:28" ht="7.5" customHeight="1" thickBot="1" x14ac:dyDescent="0.35">
      <c r="B12" s="232"/>
      <c r="C12" s="161"/>
      <c r="D12" s="161"/>
      <c r="E12" s="161"/>
      <c r="F12" s="161"/>
      <c r="G12" s="161"/>
      <c r="H12" s="161"/>
      <c r="I12" s="161"/>
      <c r="J12" s="161"/>
      <c r="K12" s="161"/>
      <c r="L12" s="161"/>
      <c r="M12" s="161"/>
      <c r="N12" s="161"/>
      <c r="O12" s="233"/>
      <c r="Q12" s="161"/>
      <c r="S12" s="311"/>
    </row>
    <row r="13" spans="2:28" ht="14.55" customHeight="1" x14ac:dyDescent="0.3">
      <c r="B13" s="327" t="s">
        <v>203</v>
      </c>
      <c r="C13" s="328"/>
      <c r="D13" s="328"/>
      <c r="E13" s="328"/>
      <c r="F13" s="328"/>
      <c r="G13" s="328"/>
      <c r="H13" s="328"/>
      <c r="I13" s="328"/>
      <c r="J13" s="328"/>
      <c r="K13" s="328"/>
      <c r="L13" s="328"/>
      <c r="M13" s="315"/>
      <c r="N13" s="331" t="s">
        <v>247</v>
      </c>
      <c r="O13" s="332"/>
      <c r="Q13" s="161"/>
      <c r="R13" s="311"/>
      <c r="S13" s="311"/>
    </row>
    <row r="14" spans="2:28" x14ac:dyDescent="0.3">
      <c r="B14" s="327"/>
      <c r="C14" s="328"/>
      <c r="D14" s="328"/>
      <c r="E14" s="328"/>
      <c r="F14" s="328"/>
      <c r="G14" s="328"/>
      <c r="H14" s="328"/>
      <c r="I14" s="328"/>
      <c r="J14" s="328"/>
      <c r="K14" s="328"/>
      <c r="L14" s="328"/>
      <c r="M14" s="315"/>
      <c r="N14" s="333"/>
      <c r="O14" s="334"/>
      <c r="R14" s="311"/>
      <c r="S14" s="311"/>
      <c r="U14" s="317"/>
      <c r="V14" s="317"/>
      <c r="W14" s="317"/>
      <c r="X14" s="317"/>
      <c r="Y14" s="317"/>
    </row>
    <row r="15" spans="2:28" x14ac:dyDescent="0.3">
      <c r="B15" s="327"/>
      <c r="C15" s="328"/>
      <c r="D15" s="328"/>
      <c r="E15" s="328"/>
      <c r="F15" s="328"/>
      <c r="G15" s="328"/>
      <c r="H15" s="328"/>
      <c r="I15" s="328"/>
      <c r="J15" s="328"/>
      <c r="K15" s="328"/>
      <c r="L15" s="328"/>
      <c r="M15" s="161"/>
      <c r="N15" s="333"/>
      <c r="O15" s="334"/>
      <c r="R15" s="311"/>
      <c r="S15" s="311"/>
      <c r="U15" s="317"/>
      <c r="V15" s="317"/>
      <c r="W15" s="317"/>
      <c r="X15" s="317"/>
      <c r="Y15" s="317"/>
    </row>
    <row r="16" spans="2:28" x14ac:dyDescent="0.3">
      <c r="B16" s="232"/>
      <c r="C16" s="161"/>
      <c r="D16" s="161"/>
      <c r="E16" s="161"/>
      <c r="F16" s="161"/>
      <c r="G16" s="161"/>
      <c r="H16" s="161"/>
      <c r="I16" s="161"/>
      <c r="J16" s="161"/>
      <c r="K16" s="161"/>
      <c r="L16" s="161"/>
      <c r="M16" s="161"/>
      <c r="N16" s="232"/>
      <c r="O16" s="233"/>
      <c r="R16" s="311"/>
      <c r="S16" s="311"/>
      <c r="U16" s="317"/>
      <c r="V16" s="317"/>
      <c r="W16" s="317"/>
      <c r="X16" s="317"/>
      <c r="Y16" s="317"/>
    </row>
    <row r="17" spans="2:15" x14ac:dyDescent="0.3">
      <c r="B17" s="312"/>
      <c r="C17" s="314"/>
      <c r="D17" s="314"/>
      <c r="E17" s="314"/>
      <c r="L17" s="314"/>
      <c r="M17" s="314"/>
      <c r="N17" s="312"/>
      <c r="O17" s="313"/>
    </row>
    <row r="18" spans="2:15" ht="14.55" customHeight="1" x14ac:dyDescent="0.3">
      <c r="B18" s="232"/>
      <c r="C18" s="161"/>
      <c r="D18" s="161"/>
      <c r="E18" s="161"/>
      <c r="F18" s="330" t="s">
        <v>204</v>
      </c>
      <c r="G18" s="330"/>
      <c r="H18" s="330"/>
      <c r="I18" s="330"/>
      <c r="J18" s="330"/>
      <c r="K18" s="330"/>
      <c r="L18" s="161"/>
      <c r="M18" s="161"/>
      <c r="N18" s="271"/>
      <c r="O18" s="233"/>
    </row>
    <row r="19" spans="2:15" x14ac:dyDescent="0.3">
      <c r="B19" s="232"/>
      <c r="C19" s="161"/>
      <c r="D19" s="161"/>
      <c r="E19" s="161"/>
      <c r="F19" s="161"/>
      <c r="G19" s="161"/>
      <c r="H19" s="161"/>
      <c r="I19" s="161"/>
      <c r="J19" s="161"/>
      <c r="K19" s="161"/>
      <c r="L19" s="161"/>
      <c r="M19" s="161"/>
      <c r="N19" s="310"/>
      <c r="O19" s="233"/>
    </row>
    <row r="20" spans="2:15" x14ac:dyDescent="0.3">
      <c r="B20" s="232"/>
      <c r="C20" s="161"/>
      <c r="D20" s="161"/>
      <c r="E20" s="161"/>
      <c r="F20" s="161"/>
      <c r="G20" s="161"/>
      <c r="H20" s="161"/>
      <c r="I20" s="161"/>
      <c r="J20" s="161"/>
      <c r="K20" s="161"/>
      <c r="L20" s="161"/>
      <c r="M20" s="161"/>
      <c r="N20" s="310"/>
      <c r="O20" s="233"/>
    </row>
    <row r="21" spans="2:15" x14ac:dyDescent="0.3">
      <c r="B21" s="232"/>
      <c r="C21" s="161"/>
      <c r="D21" s="161"/>
      <c r="E21" s="161"/>
      <c r="F21" s="161"/>
      <c r="G21" s="161"/>
      <c r="H21" s="161"/>
      <c r="I21" s="161"/>
      <c r="J21" s="161"/>
      <c r="K21" s="161"/>
      <c r="L21" s="161"/>
      <c r="M21" s="161"/>
      <c r="N21" s="232"/>
      <c r="O21" s="233"/>
    </row>
    <row r="22" spans="2:15" x14ac:dyDescent="0.3">
      <c r="B22" s="232"/>
      <c r="C22" s="161"/>
      <c r="D22" s="161"/>
      <c r="E22" s="161"/>
      <c r="F22" s="161"/>
      <c r="G22" s="161"/>
      <c r="H22" s="161"/>
      <c r="I22" s="161"/>
      <c r="J22" s="161"/>
      <c r="K22" s="161"/>
      <c r="L22" s="161"/>
      <c r="M22" s="161"/>
      <c r="N22" s="316"/>
      <c r="O22" s="233"/>
    </row>
    <row r="23" spans="2:15" ht="15" thickBot="1" x14ac:dyDescent="0.35">
      <c r="B23" s="234"/>
      <c r="C23" s="235"/>
      <c r="D23" s="235"/>
      <c r="E23" s="235"/>
      <c r="F23" s="235"/>
      <c r="G23" s="235"/>
      <c r="H23" s="235"/>
      <c r="I23" s="235"/>
      <c r="J23" s="235"/>
      <c r="K23" s="235"/>
      <c r="L23" s="235"/>
      <c r="M23" s="235"/>
      <c r="N23" s="234"/>
      <c r="O23" s="236"/>
    </row>
    <row r="51" spans="2:7" x14ac:dyDescent="0.3">
      <c r="C51" s="69"/>
      <c r="D51" s="69"/>
      <c r="E51" s="69"/>
      <c r="F51" s="69"/>
      <c r="G51" s="10"/>
    </row>
    <row r="52" spans="2:7" x14ac:dyDescent="0.3">
      <c r="B52" s="109"/>
      <c r="C52" s="69"/>
      <c r="D52" s="69"/>
      <c r="E52" s="69"/>
      <c r="F52" s="69"/>
      <c r="G52" s="10"/>
    </row>
  </sheetData>
  <sheetProtection sheet="1" objects="1" scenarios="1" selectLockedCells="1"/>
  <mergeCells count="7">
    <mergeCell ref="U14:Y16"/>
    <mergeCell ref="B2:O4"/>
    <mergeCell ref="B6:O8"/>
    <mergeCell ref="B10:O11"/>
    <mergeCell ref="F18:K18"/>
    <mergeCell ref="N13:O15"/>
    <mergeCell ref="B13:L15"/>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A70CC-A2D2-4822-AD50-19DF8BD2B0A3}">
  <sheetPr codeName="Blad36">
    <tabColor theme="9" tint="0.59999389629810485"/>
  </sheetPr>
  <dimension ref="A2:R47"/>
  <sheetViews>
    <sheetView showGridLines="0" zoomScale="80" zoomScaleNormal="80" workbookViewId="0">
      <selection activeCell="D6" sqref="D6"/>
    </sheetView>
  </sheetViews>
  <sheetFormatPr defaultRowHeight="14.4" x14ac:dyDescent="0.3"/>
  <cols>
    <col min="1" max="1" width="2.77734375" style="1" customWidth="1"/>
    <col min="2" max="2" width="18.21875" customWidth="1"/>
    <col min="3" max="3" width="0.88671875" customWidth="1"/>
    <col min="4" max="4" width="9.109375" customWidth="1"/>
    <col min="5" max="5" width="0.88671875" customWidth="1"/>
    <col min="6" max="7" width="11.33203125" customWidth="1"/>
    <col min="8" max="8" width="0.88671875" customWidth="1"/>
    <col min="9" max="10" width="11.33203125" customWidth="1"/>
    <col min="11" max="11" width="0.88671875" customWidth="1"/>
    <col min="12" max="13" width="11.33203125" customWidth="1"/>
  </cols>
  <sheetData>
    <row r="2" spans="2:13" ht="14.55" customHeight="1" x14ac:dyDescent="0.3">
      <c r="B2" s="455" t="s">
        <v>65</v>
      </c>
      <c r="C2" s="455"/>
      <c r="D2" s="455"/>
      <c r="E2" s="455"/>
      <c r="F2" s="455"/>
      <c r="G2" s="455"/>
      <c r="H2" s="455"/>
      <c r="I2" s="455"/>
      <c r="J2" s="455"/>
      <c r="K2" s="455"/>
      <c r="L2" s="455"/>
      <c r="M2" s="455"/>
    </row>
    <row r="3" spans="2:13" ht="14.55" customHeight="1" x14ac:dyDescent="0.3">
      <c r="B3" s="455"/>
      <c r="C3" s="455"/>
      <c r="D3" s="455"/>
      <c r="E3" s="455"/>
      <c r="F3" s="455"/>
      <c r="G3" s="455"/>
      <c r="H3" s="455"/>
      <c r="I3" s="455"/>
      <c r="J3" s="455"/>
      <c r="K3" s="455"/>
      <c r="L3" s="455"/>
      <c r="M3" s="455"/>
    </row>
    <row r="5" spans="2:13" x14ac:dyDescent="0.3">
      <c r="B5" s="193"/>
      <c r="C5" s="112"/>
      <c r="D5" s="193" t="s">
        <v>87</v>
      </c>
      <c r="E5" s="112"/>
      <c r="F5" s="193" t="s">
        <v>64</v>
      </c>
      <c r="G5" s="193" t="s">
        <v>102</v>
      </c>
      <c r="H5" s="112"/>
      <c r="I5" s="193" t="s">
        <v>88</v>
      </c>
      <c r="J5" s="193" t="s">
        <v>102</v>
      </c>
      <c r="K5" s="112"/>
      <c r="L5" s="193" t="s">
        <v>89</v>
      </c>
      <c r="M5" s="193" t="s">
        <v>102</v>
      </c>
    </row>
    <row r="6" spans="2:13" x14ac:dyDescent="0.3">
      <c r="B6" s="11" t="str">
        <f>Gegevens!B75</f>
        <v>Gras</v>
      </c>
      <c r="C6" s="112"/>
      <c r="D6" s="287"/>
      <c r="E6" s="112"/>
      <c r="F6" s="11">
        <f>Gegevens!C75</f>
        <v>905</v>
      </c>
      <c r="G6" s="280"/>
      <c r="H6" s="112"/>
      <c r="I6" s="11">
        <v>72</v>
      </c>
      <c r="J6" s="280"/>
      <c r="K6" s="112"/>
      <c r="L6" s="47">
        <f>Gegevens!E75</f>
        <v>0.18</v>
      </c>
      <c r="M6" s="288"/>
    </row>
    <row r="7" spans="2:13" x14ac:dyDescent="0.3">
      <c r="B7" s="11" t="str">
        <f>Gegevens!B76</f>
        <v>Mais</v>
      </c>
      <c r="C7" s="112"/>
      <c r="D7" s="287"/>
      <c r="E7" s="112"/>
      <c r="F7" s="11">
        <f>Gegevens!C76</f>
        <v>980</v>
      </c>
      <c r="G7" s="280"/>
      <c r="H7" s="112"/>
      <c r="I7" s="11">
        <f>Gegevens!D76</f>
        <v>52</v>
      </c>
      <c r="J7" s="280"/>
      <c r="K7" s="112"/>
      <c r="L7" s="47">
        <f>Gegevens!E76</f>
        <v>0.14000000000000001</v>
      </c>
      <c r="M7" s="288"/>
    </row>
    <row r="8" spans="2:13" x14ac:dyDescent="0.3">
      <c r="B8" s="11" t="str">
        <f>Gegevens!B77</f>
        <v>Luzerne</v>
      </c>
      <c r="C8" s="112"/>
      <c r="D8" s="287"/>
      <c r="E8" s="112"/>
      <c r="F8" s="11">
        <f>Gegevens!C77</f>
        <v>880</v>
      </c>
      <c r="G8" s="280"/>
      <c r="H8" s="112"/>
      <c r="I8" s="11">
        <f>Gegevens!D77</f>
        <v>55</v>
      </c>
      <c r="J8" s="280"/>
      <c r="K8" s="112"/>
      <c r="L8" s="47">
        <f>Gegevens!E77</f>
        <v>0.28000000000000003</v>
      </c>
      <c r="M8" s="288"/>
    </row>
    <row r="9" spans="2:13" x14ac:dyDescent="0.3">
      <c r="B9" s="11" t="str">
        <f>Gegevens!B78</f>
        <v>Voederbieten</v>
      </c>
      <c r="C9" s="112"/>
      <c r="D9" s="287"/>
      <c r="E9" s="112"/>
      <c r="F9" s="11">
        <f>Gegevens!C78</f>
        <v>1100</v>
      </c>
      <c r="G9" s="280"/>
      <c r="H9" s="112"/>
      <c r="I9" s="11">
        <f>Gegevens!D78</f>
        <v>100</v>
      </c>
      <c r="J9" s="280"/>
      <c r="K9" s="112"/>
      <c r="L9" s="47">
        <f>Gegevens!E78</f>
        <v>0.22</v>
      </c>
      <c r="M9" s="288"/>
    </row>
    <row r="10" spans="2:13" x14ac:dyDescent="0.3">
      <c r="B10" s="11" t="str">
        <f>Gegevens!B79</f>
        <v>Sorghum</v>
      </c>
      <c r="C10" s="112"/>
      <c r="D10" s="287"/>
      <c r="E10" s="112"/>
      <c r="F10" s="11">
        <f>Gegevens!C79</f>
        <v>869</v>
      </c>
      <c r="G10" s="280"/>
      <c r="H10" s="112"/>
      <c r="I10" s="11">
        <f>Gegevens!D79</f>
        <v>67</v>
      </c>
      <c r="J10" s="280"/>
      <c r="K10" s="112"/>
      <c r="L10" s="47">
        <f>Gegevens!E79</f>
        <v>0.18</v>
      </c>
      <c r="M10" s="288"/>
    </row>
    <row r="11" spans="2:13" x14ac:dyDescent="0.3">
      <c r="B11" s="11" t="str">
        <f>Gegevens!B80</f>
        <v>Bierbostel</v>
      </c>
      <c r="C11" s="112"/>
      <c r="D11" s="287"/>
      <c r="E11" s="112"/>
      <c r="F11" s="11">
        <f>Gegevens!C80</f>
        <v>965</v>
      </c>
      <c r="G11" s="280"/>
      <c r="H11" s="112"/>
      <c r="I11" s="11">
        <f>Gegevens!D80</f>
        <v>157</v>
      </c>
      <c r="J11" s="280"/>
      <c r="K11" s="112"/>
      <c r="L11" s="47">
        <f>Gegevens!E80</f>
        <v>0.21</v>
      </c>
      <c r="M11" s="288"/>
    </row>
    <row r="12" spans="2:13" x14ac:dyDescent="0.3">
      <c r="B12" s="11" t="str">
        <f>Gegevens!B81</f>
        <v>Perspulp</v>
      </c>
      <c r="C12" s="112"/>
      <c r="D12" s="287"/>
      <c r="E12" s="112"/>
      <c r="F12" s="11">
        <f>Gegevens!C81</f>
        <v>1085</v>
      </c>
      <c r="G12" s="280"/>
      <c r="H12" s="112"/>
      <c r="I12" s="11">
        <f>Gegevens!D81</f>
        <v>96</v>
      </c>
      <c r="J12" s="280"/>
      <c r="K12" s="112"/>
      <c r="L12" s="47">
        <f>Gegevens!E81</f>
        <v>0.28000000000000003</v>
      </c>
      <c r="M12" s="288"/>
    </row>
    <row r="13" spans="2:13" x14ac:dyDescent="0.3">
      <c r="B13" s="11" t="str">
        <f>Gegevens!B82</f>
        <v>Citruspulp</v>
      </c>
      <c r="C13" s="112"/>
      <c r="D13" s="287"/>
      <c r="E13" s="112"/>
      <c r="F13" s="11">
        <f>Gegevens!C82</f>
        <v>1111</v>
      </c>
      <c r="G13" s="280"/>
      <c r="H13" s="112"/>
      <c r="I13" s="11">
        <f>Gegevens!D82</f>
        <v>85</v>
      </c>
      <c r="J13" s="280"/>
      <c r="K13" s="112"/>
      <c r="L13" s="47">
        <f>Gegevens!E82</f>
        <v>0.14000000000000001</v>
      </c>
      <c r="M13" s="288"/>
    </row>
    <row r="14" spans="2:13" x14ac:dyDescent="0.3">
      <c r="B14" s="11" t="s">
        <v>94</v>
      </c>
      <c r="C14" s="112"/>
      <c r="D14" s="287"/>
      <c r="E14" s="112"/>
      <c r="F14" s="11"/>
      <c r="G14" s="280"/>
      <c r="H14" s="112"/>
      <c r="I14" s="11"/>
      <c r="J14" s="280"/>
      <c r="K14" s="112"/>
      <c r="L14" s="47"/>
      <c r="M14" s="288"/>
    </row>
    <row r="15" spans="2:13" x14ac:dyDescent="0.3">
      <c r="B15" s="11" t="s">
        <v>94</v>
      </c>
      <c r="C15" s="112"/>
      <c r="D15" s="287"/>
      <c r="E15" s="112"/>
      <c r="F15" s="11"/>
      <c r="G15" s="280"/>
      <c r="H15" s="112"/>
      <c r="I15" s="11"/>
      <c r="J15" s="280"/>
      <c r="K15" s="112"/>
      <c r="L15" s="47"/>
      <c r="M15" s="288"/>
    </row>
    <row r="16" spans="2:13" x14ac:dyDescent="0.3">
      <c r="B16" s="11" t="s">
        <v>94</v>
      </c>
      <c r="C16" s="112"/>
      <c r="D16" s="287"/>
      <c r="E16" s="112"/>
      <c r="F16" s="11"/>
      <c r="G16" s="280"/>
      <c r="H16" s="112"/>
      <c r="I16" s="11"/>
      <c r="J16" s="280"/>
      <c r="K16" s="112"/>
      <c r="L16" s="47"/>
      <c r="M16" s="288"/>
    </row>
    <row r="20" spans="1:18" x14ac:dyDescent="0.3">
      <c r="B20" s="1"/>
      <c r="C20" s="1"/>
      <c r="D20" s="1"/>
      <c r="E20" s="1"/>
      <c r="F20" s="1"/>
      <c r="G20" s="1"/>
      <c r="H20" s="1"/>
      <c r="I20" s="1"/>
      <c r="J20" s="1"/>
      <c r="K20" s="1"/>
      <c r="L20" s="1"/>
      <c r="M20" s="1"/>
      <c r="N20" s="1"/>
      <c r="O20" s="1"/>
      <c r="P20" s="1"/>
      <c r="Q20" s="1"/>
      <c r="R20" s="1"/>
    </row>
    <row r="21" spans="1:18" x14ac:dyDescent="0.3">
      <c r="B21" s="1"/>
      <c r="C21" s="1"/>
      <c r="D21" s="1"/>
      <c r="E21" s="1"/>
      <c r="F21" s="1"/>
      <c r="G21" s="1"/>
      <c r="H21" s="1"/>
      <c r="I21" s="1"/>
      <c r="J21" s="1"/>
      <c r="K21" s="1"/>
      <c r="L21" s="1"/>
      <c r="M21" s="1"/>
      <c r="N21" s="1"/>
      <c r="O21" s="1"/>
      <c r="P21" s="1"/>
      <c r="Q21" s="1"/>
      <c r="R21" s="1"/>
    </row>
    <row r="22" spans="1:18" x14ac:dyDescent="0.3">
      <c r="A22" s="9"/>
      <c r="B22" s="9"/>
      <c r="C22" s="9"/>
      <c r="D22" s="9" t="s">
        <v>87</v>
      </c>
      <c r="E22" s="9"/>
      <c r="F22" s="9" t="s">
        <v>64</v>
      </c>
      <c r="G22" s="9" t="s">
        <v>88</v>
      </c>
      <c r="H22" s="9"/>
      <c r="I22" s="9" t="s">
        <v>89</v>
      </c>
      <c r="J22" s="1"/>
      <c r="K22" s="1"/>
      <c r="L22" s="1"/>
      <c r="M22" s="1"/>
      <c r="N22" s="1"/>
      <c r="O22" s="1"/>
      <c r="P22" s="1"/>
      <c r="Q22" s="1"/>
      <c r="R22" s="1"/>
    </row>
    <row r="23" spans="1:18" x14ac:dyDescent="0.3">
      <c r="A23" s="9" t="str">
        <f>IF(D23&gt;0,1,"")</f>
        <v/>
      </c>
      <c r="B23" s="9" t="str">
        <f>B6</f>
        <v>Gras</v>
      </c>
      <c r="C23" s="9"/>
      <c r="D23" s="9">
        <f>D6</f>
        <v>0</v>
      </c>
      <c r="E23" s="9"/>
      <c r="F23" s="9">
        <f>IF(G6=0,F6,G6)</f>
        <v>905</v>
      </c>
      <c r="G23" s="9">
        <f>IF(J6=0,I6,J6)</f>
        <v>72</v>
      </c>
      <c r="H23" s="9"/>
      <c r="I23" s="9">
        <f>IF(M6=0,L6,M6)</f>
        <v>0.18</v>
      </c>
      <c r="J23" s="1"/>
      <c r="K23" s="1"/>
      <c r="L23" s="1"/>
      <c r="M23" s="1"/>
      <c r="N23" s="1"/>
      <c r="O23" s="1"/>
      <c r="P23" s="1"/>
      <c r="Q23" s="1"/>
      <c r="R23" s="1"/>
    </row>
    <row r="24" spans="1:18" x14ac:dyDescent="0.3">
      <c r="A24" s="9" t="str">
        <f>IF(D24&gt;0,COUNT(A23)+1,"")</f>
        <v/>
      </c>
      <c r="B24" s="9" t="str">
        <f t="shared" ref="B24:B33" si="0">B7</f>
        <v>Mais</v>
      </c>
      <c r="C24" s="9"/>
      <c r="D24" s="9">
        <f t="shared" ref="D24:D33" si="1">D7</f>
        <v>0</v>
      </c>
      <c r="E24" s="9"/>
      <c r="F24" s="9">
        <f t="shared" ref="F24:F31" si="2">IF(G7=0,F7,G7)</f>
        <v>980</v>
      </c>
      <c r="G24" s="9">
        <f t="shared" ref="G24:G31" si="3">IF(J7=0,I7,J7)</f>
        <v>52</v>
      </c>
      <c r="H24" s="9"/>
      <c r="I24" s="9">
        <f t="shared" ref="I24:I31" si="4">IF(M7=0,L7,M7)</f>
        <v>0.14000000000000001</v>
      </c>
      <c r="J24" s="1"/>
      <c r="K24" s="1"/>
      <c r="L24" s="1"/>
      <c r="M24" s="1"/>
      <c r="N24" s="1"/>
      <c r="O24" s="1"/>
      <c r="P24" s="1"/>
      <c r="Q24" s="1"/>
      <c r="R24" s="1"/>
    </row>
    <row r="25" spans="1:18" x14ac:dyDescent="0.3">
      <c r="A25" s="9" t="str">
        <f>IF(D25&gt;0,COUNT(A23:A24)+1,"")</f>
        <v/>
      </c>
      <c r="B25" s="9" t="str">
        <f t="shared" si="0"/>
        <v>Luzerne</v>
      </c>
      <c r="C25" s="9"/>
      <c r="D25" s="9">
        <f t="shared" si="1"/>
        <v>0</v>
      </c>
      <c r="E25" s="9"/>
      <c r="F25" s="9">
        <f t="shared" si="2"/>
        <v>880</v>
      </c>
      <c r="G25" s="9">
        <f t="shared" si="3"/>
        <v>55</v>
      </c>
      <c r="H25" s="9"/>
      <c r="I25" s="9">
        <f t="shared" si="4"/>
        <v>0.28000000000000003</v>
      </c>
      <c r="J25" s="1"/>
      <c r="K25" s="1"/>
      <c r="L25" s="1"/>
      <c r="M25" s="1"/>
      <c r="N25" s="1"/>
      <c r="O25" s="1"/>
      <c r="P25" s="1"/>
      <c r="Q25" s="1"/>
      <c r="R25" s="1"/>
    </row>
    <row r="26" spans="1:18" x14ac:dyDescent="0.3">
      <c r="A26" s="9" t="str">
        <f>IF(D26&gt;0,COUNT(A23:A25)+1,"")</f>
        <v/>
      </c>
      <c r="B26" s="9" t="str">
        <f t="shared" si="0"/>
        <v>Voederbieten</v>
      </c>
      <c r="C26" s="9"/>
      <c r="D26" s="9">
        <f t="shared" si="1"/>
        <v>0</v>
      </c>
      <c r="E26" s="9"/>
      <c r="F26" s="9">
        <f t="shared" si="2"/>
        <v>1100</v>
      </c>
      <c r="G26" s="9">
        <f t="shared" si="3"/>
        <v>100</v>
      </c>
      <c r="H26" s="9"/>
      <c r="I26" s="9">
        <f t="shared" si="4"/>
        <v>0.22</v>
      </c>
      <c r="J26" s="1"/>
      <c r="K26" s="1"/>
      <c r="L26" s="1"/>
      <c r="M26" s="1"/>
      <c r="N26" s="1"/>
      <c r="O26" s="1"/>
      <c r="P26" s="1"/>
      <c r="Q26" s="1"/>
      <c r="R26" s="1"/>
    </row>
    <row r="27" spans="1:18" x14ac:dyDescent="0.3">
      <c r="A27" s="9" t="str">
        <f>IF(D27&gt;0,COUNT(A23:A26)+1,"")</f>
        <v/>
      </c>
      <c r="B27" s="9" t="str">
        <f t="shared" si="0"/>
        <v>Sorghum</v>
      </c>
      <c r="C27" s="9"/>
      <c r="D27" s="9">
        <f t="shared" si="1"/>
        <v>0</v>
      </c>
      <c r="E27" s="9"/>
      <c r="F27" s="9">
        <f t="shared" si="2"/>
        <v>869</v>
      </c>
      <c r="G27" s="9">
        <f t="shared" si="3"/>
        <v>67</v>
      </c>
      <c r="H27" s="9"/>
      <c r="I27" s="9">
        <f t="shared" si="4"/>
        <v>0.18</v>
      </c>
      <c r="J27" s="1"/>
      <c r="K27" s="1"/>
      <c r="L27" s="1"/>
      <c r="M27" s="1"/>
      <c r="N27" s="1"/>
      <c r="O27" s="1"/>
      <c r="P27" s="1"/>
      <c r="Q27" s="1"/>
      <c r="R27" s="1"/>
    </row>
    <row r="28" spans="1:18" x14ac:dyDescent="0.3">
      <c r="A28" s="9" t="str">
        <f>IF(D28&gt;0,COUNT(A23:A27)+1,"")</f>
        <v/>
      </c>
      <c r="B28" s="9" t="str">
        <f t="shared" si="0"/>
        <v>Bierbostel</v>
      </c>
      <c r="C28" s="9"/>
      <c r="D28" s="9">
        <f t="shared" si="1"/>
        <v>0</v>
      </c>
      <c r="E28" s="9"/>
      <c r="F28" s="9">
        <f t="shared" si="2"/>
        <v>965</v>
      </c>
      <c r="G28" s="9">
        <f t="shared" si="3"/>
        <v>157</v>
      </c>
      <c r="H28" s="9"/>
      <c r="I28" s="9">
        <f t="shared" si="4"/>
        <v>0.21</v>
      </c>
      <c r="J28" s="1"/>
      <c r="K28" s="1"/>
      <c r="L28" s="1"/>
      <c r="M28" s="1"/>
      <c r="N28" s="1"/>
      <c r="O28" s="1"/>
      <c r="P28" s="1"/>
      <c r="Q28" s="1"/>
      <c r="R28" s="1"/>
    </row>
    <row r="29" spans="1:18" x14ac:dyDescent="0.3">
      <c r="A29" s="9" t="str">
        <f>IF(D29&gt;0,COUNT(A23:A28)+1,"")</f>
        <v/>
      </c>
      <c r="B29" s="9" t="str">
        <f t="shared" si="0"/>
        <v>Perspulp</v>
      </c>
      <c r="C29" s="9"/>
      <c r="D29" s="9">
        <f t="shared" si="1"/>
        <v>0</v>
      </c>
      <c r="E29" s="9"/>
      <c r="F29" s="9">
        <f t="shared" si="2"/>
        <v>1085</v>
      </c>
      <c r="G29" s="9">
        <f t="shared" si="3"/>
        <v>96</v>
      </c>
      <c r="H29" s="9"/>
      <c r="I29" s="9">
        <f t="shared" si="4"/>
        <v>0.28000000000000003</v>
      </c>
      <c r="J29" s="1"/>
      <c r="K29" s="1"/>
      <c r="L29" s="1"/>
      <c r="M29" s="1"/>
      <c r="N29" s="1"/>
      <c r="O29" s="1"/>
      <c r="P29" s="1"/>
      <c r="Q29" s="1"/>
      <c r="R29" s="1"/>
    </row>
    <row r="30" spans="1:18" x14ac:dyDescent="0.3">
      <c r="A30" s="9" t="str">
        <f>IF(D30&gt;0,COUNT(A23:A29)+1,"")</f>
        <v/>
      </c>
      <c r="B30" s="9" t="str">
        <f t="shared" si="0"/>
        <v>Citruspulp</v>
      </c>
      <c r="C30" s="9"/>
      <c r="D30" s="9">
        <f t="shared" si="1"/>
        <v>0</v>
      </c>
      <c r="E30" s="9"/>
      <c r="F30" s="9">
        <f t="shared" si="2"/>
        <v>1111</v>
      </c>
      <c r="G30" s="9">
        <f t="shared" si="3"/>
        <v>85</v>
      </c>
      <c r="H30" s="9"/>
      <c r="I30" s="9">
        <f t="shared" si="4"/>
        <v>0.14000000000000001</v>
      </c>
      <c r="J30" s="1"/>
      <c r="K30" s="1"/>
      <c r="L30" s="1"/>
      <c r="M30" s="1"/>
      <c r="N30" s="1"/>
      <c r="O30" s="1"/>
      <c r="P30" s="1"/>
      <c r="Q30" s="1"/>
      <c r="R30" s="1"/>
    </row>
    <row r="31" spans="1:18" x14ac:dyDescent="0.3">
      <c r="A31" s="9" t="str">
        <f>IF(D31&gt;0,COUNT(A23:A30)+1,"")</f>
        <v/>
      </c>
      <c r="B31" s="9" t="str">
        <f t="shared" si="0"/>
        <v>Anders</v>
      </c>
      <c r="C31" s="9"/>
      <c r="D31" s="9">
        <f t="shared" si="1"/>
        <v>0</v>
      </c>
      <c r="E31" s="9"/>
      <c r="F31" s="9">
        <f t="shared" si="2"/>
        <v>0</v>
      </c>
      <c r="G31" s="9">
        <f t="shared" si="3"/>
        <v>0</v>
      </c>
      <c r="H31" s="9"/>
      <c r="I31" s="9">
        <f t="shared" si="4"/>
        <v>0</v>
      </c>
      <c r="J31" s="1"/>
      <c r="K31" s="1"/>
      <c r="L31" s="1"/>
      <c r="M31" s="1"/>
      <c r="N31" s="1"/>
      <c r="O31" s="1"/>
      <c r="P31" s="1"/>
      <c r="Q31" s="1"/>
      <c r="R31" s="1"/>
    </row>
    <row r="32" spans="1:18" x14ac:dyDescent="0.3">
      <c r="A32" s="9" t="str">
        <f>IF(D32&gt;0,COUNT(A23:A31)+1,"")</f>
        <v/>
      </c>
      <c r="B32" s="9" t="str">
        <f t="shared" si="0"/>
        <v>Anders</v>
      </c>
      <c r="C32" s="9"/>
      <c r="D32" s="9">
        <f t="shared" si="1"/>
        <v>0</v>
      </c>
      <c r="E32" s="9"/>
      <c r="F32" s="9">
        <f t="shared" ref="F32:F33" si="5">IF(G15=0,F15,G15)</f>
        <v>0</v>
      </c>
      <c r="G32" s="9">
        <f t="shared" ref="G32:G33" si="6">IF(J15=0,I15,J15)</f>
        <v>0</v>
      </c>
      <c r="H32" s="9"/>
      <c r="I32" s="9">
        <f t="shared" ref="I32:I33" si="7">IF(M15=0,L15,M15)</f>
        <v>0</v>
      </c>
      <c r="J32" s="1"/>
      <c r="K32" s="1"/>
      <c r="L32" s="1"/>
      <c r="M32" s="1"/>
      <c r="N32" s="1"/>
      <c r="O32" s="1"/>
      <c r="P32" s="1"/>
      <c r="Q32" s="1"/>
      <c r="R32" s="1"/>
    </row>
    <row r="33" spans="1:18" x14ac:dyDescent="0.3">
      <c r="A33" s="9" t="str">
        <f>IF(D33&gt;0,COUNT(A23:A32)+1,"")</f>
        <v/>
      </c>
      <c r="B33" s="9" t="str">
        <f t="shared" si="0"/>
        <v>Anders</v>
      </c>
      <c r="C33" s="9"/>
      <c r="D33" s="9">
        <f t="shared" si="1"/>
        <v>0</v>
      </c>
      <c r="E33" s="9"/>
      <c r="F33" s="9">
        <f t="shared" si="5"/>
        <v>0</v>
      </c>
      <c r="G33" s="9">
        <f t="shared" si="6"/>
        <v>0</v>
      </c>
      <c r="H33" s="9"/>
      <c r="I33" s="9">
        <f t="shared" si="7"/>
        <v>0</v>
      </c>
      <c r="J33" s="1"/>
      <c r="K33" s="1"/>
      <c r="L33" s="1"/>
      <c r="M33" s="1"/>
      <c r="N33" s="1"/>
      <c r="O33" s="1"/>
      <c r="P33" s="1"/>
      <c r="Q33" s="1"/>
      <c r="R33" s="1"/>
    </row>
    <row r="34" spans="1:18" x14ac:dyDescent="0.3">
      <c r="B34" s="1"/>
      <c r="C34" s="1"/>
      <c r="D34" s="1"/>
      <c r="E34" s="1"/>
      <c r="F34" s="1"/>
      <c r="G34" s="1"/>
      <c r="H34" s="1"/>
      <c r="I34" s="1"/>
      <c r="J34" s="1"/>
      <c r="K34" s="1"/>
      <c r="L34" s="1"/>
      <c r="M34" s="1"/>
      <c r="N34" s="1"/>
      <c r="O34" s="1"/>
      <c r="P34" s="1"/>
      <c r="Q34" s="1"/>
      <c r="R34" s="1"/>
    </row>
    <row r="35" spans="1:18" x14ac:dyDescent="0.3">
      <c r="B35" s="1"/>
      <c r="C35" s="1"/>
      <c r="D35" s="1"/>
      <c r="E35" s="1"/>
      <c r="F35" s="1"/>
      <c r="G35" s="1"/>
      <c r="H35" s="1"/>
      <c r="I35" s="1"/>
      <c r="J35" s="1"/>
      <c r="K35" s="1"/>
      <c r="L35" s="1"/>
      <c r="M35" s="1"/>
      <c r="N35" s="1"/>
      <c r="O35" s="1"/>
      <c r="P35" s="1"/>
      <c r="Q35" s="1"/>
      <c r="R35" s="1"/>
    </row>
    <row r="36" spans="1:18" x14ac:dyDescent="0.3">
      <c r="B36" s="1"/>
      <c r="C36" s="1"/>
      <c r="D36" s="1"/>
      <c r="E36" s="1"/>
      <c r="F36" s="1"/>
      <c r="G36" s="1"/>
      <c r="H36" s="1"/>
      <c r="I36" s="1"/>
      <c r="J36" s="1"/>
      <c r="K36" s="1"/>
      <c r="L36" s="1"/>
      <c r="M36" s="1"/>
      <c r="N36" s="1"/>
      <c r="O36" s="1"/>
      <c r="P36" s="1"/>
      <c r="Q36" s="1"/>
      <c r="R36" s="1"/>
    </row>
    <row r="37" spans="1:18" x14ac:dyDescent="0.3">
      <c r="B37" s="1"/>
      <c r="C37" s="1"/>
      <c r="D37" s="1"/>
      <c r="E37" s="1"/>
      <c r="F37" s="1"/>
      <c r="G37" s="1"/>
      <c r="H37" s="1"/>
      <c r="I37" s="1"/>
      <c r="J37" s="1"/>
      <c r="K37" s="1"/>
      <c r="L37" s="1"/>
      <c r="M37" s="1"/>
    </row>
    <row r="38" spans="1:18" x14ac:dyDescent="0.3">
      <c r="B38" s="1"/>
      <c r="C38" s="1"/>
      <c r="D38" s="1"/>
      <c r="E38" s="1"/>
      <c r="F38" s="1"/>
      <c r="G38" s="1"/>
      <c r="H38" s="1"/>
      <c r="I38" s="1"/>
      <c r="J38" s="1"/>
      <c r="K38" s="1"/>
      <c r="L38" s="1"/>
      <c r="M38" s="1"/>
    </row>
    <row r="39" spans="1:18" x14ac:dyDescent="0.3">
      <c r="B39" s="1"/>
      <c r="C39" s="1"/>
      <c r="D39" s="1"/>
      <c r="E39" s="1"/>
      <c r="F39" s="1"/>
      <c r="G39" s="1"/>
      <c r="H39" s="1"/>
      <c r="I39" s="1"/>
      <c r="J39" s="1"/>
      <c r="K39" s="1"/>
      <c r="L39" s="1"/>
      <c r="M39" s="1"/>
    </row>
    <row r="40" spans="1:18" x14ac:dyDescent="0.3">
      <c r="B40" s="1"/>
      <c r="C40" s="1"/>
      <c r="D40" s="1"/>
      <c r="E40" s="1"/>
      <c r="F40" s="1"/>
      <c r="G40" s="1"/>
      <c r="H40" s="1"/>
      <c r="I40" s="1"/>
      <c r="J40" s="1"/>
      <c r="K40" s="1"/>
      <c r="L40" s="1"/>
      <c r="M40" s="1"/>
    </row>
    <row r="41" spans="1:18" x14ac:dyDescent="0.3">
      <c r="B41" s="1"/>
      <c r="C41" s="1"/>
      <c r="D41" s="1"/>
      <c r="E41" s="1"/>
      <c r="F41" s="1"/>
      <c r="G41" s="1"/>
      <c r="H41" s="1"/>
      <c r="I41" s="1"/>
      <c r="J41" s="1"/>
      <c r="K41" s="1"/>
      <c r="L41" s="1"/>
      <c r="M41" s="1"/>
    </row>
    <row r="42" spans="1:18" x14ac:dyDescent="0.3">
      <c r="B42" s="1"/>
      <c r="C42" s="1"/>
      <c r="D42" s="1"/>
      <c r="E42" s="1"/>
      <c r="F42" s="1"/>
      <c r="G42" s="1"/>
      <c r="H42" s="1"/>
      <c r="I42" s="1"/>
      <c r="J42" s="1"/>
      <c r="K42" s="1"/>
      <c r="L42" s="1"/>
      <c r="M42" s="1"/>
    </row>
    <row r="43" spans="1:18" x14ac:dyDescent="0.3">
      <c r="B43" s="1"/>
      <c r="C43" s="1"/>
      <c r="D43" s="1"/>
      <c r="E43" s="1"/>
      <c r="F43" s="1"/>
      <c r="G43" s="1"/>
      <c r="H43" s="1"/>
      <c r="I43" s="1"/>
      <c r="J43" s="1"/>
      <c r="K43" s="1"/>
      <c r="L43" s="1"/>
      <c r="M43" s="1"/>
    </row>
    <row r="44" spans="1:18" x14ac:dyDescent="0.3">
      <c r="B44" s="1"/>
      <c r="C44" s="1"/>
      <c r="D44" s="1"/>
      <c r="E44" s="1"/>
      <c r="F44" s="1"/>
      <c r="G44" s="1"/>
      <c r="H44" s="1"/>
      <c r="I44" s="1"/>
      <c r="J44" s="1"/>
      <c r="K44" s="1"/>
      <c r="L44" s="1"/>
      <c r="M44" s="1"/>
    </row>
    <row r="45" spans="1:18" x14ac:dyDescent="0.3">
      <c r="B45" s="1"/>
      <c r="C45" s="1"/>
      <c r="D45" s="1"/>
      <c r="E45" s="1"/>
      <c r="F45" s="1"/>
      <c r="G45" s="1"/>
      <c r="H45" s="1"/>
      <c r="I45" s="1"/>
      <c r="J45" s="1"/>
      <c r="K45" s="1"/>
      <c r="L45" s="1"/>
      <c r="M45" s="1"/>
    </row>
    <row r="46" spans="1:18" x14ac:dyDescent="0.3">
      <c r="B46" s="1"/>
      <c r="C46" s="1"/>
      <c r="D46" s="1"/>
      <c r="E46" s="1"/>
      <c r="F46" s="1"/>
      <c r="G46" s="1"/>
      <c r="H46" s="1"/>
      <c r="I46" s="1"/>
      <c r="J46" s="1"/>
      <c r="K46" s="1"/>
      <c r="L46" s="1"/>
      <c r="M46" s="1"/>
    </row>
    <row r="47" spans="1:18" x14ac:dyDescent="0.3">
      <c r="B47" s="1"/>
      <c r="C47" s="1"/>
      <c r="D47" s="1"/>
      <c r="E47" s="1"/>
      <c r="F47" s="1"/>
      <c r="G47" s="1"/>
      <c r="H47" s="1"/>
      <c r="I47" s="1"/>
      <c r="J47" s="1"/>
      <c r="K47" s="1"/>
      <c r="L47" s="1"/>
      <c r="M47" s="1"/>
    </row>
  </sheetData>
  <sheetProtection sheet="1" objects="1" scenarios="1" selectLockedCells="1"/>
  <mergeCells count="1">
    <mergeCell ref="B2:M3"/>
  </mergeCells>
  <dataValidations count="1">
    <dataValidation type="decimal" operator="greaterThanOrEqual" allowBlank="1" showInputMessage="1" showErrorMessage="1" errorTitle="Fout" error="Typ een getal groter of gelijk aan 0." sqref="D6:D16 G6:G15 G16 J7:J16 J6 M6:M16" xr:uid="{B4B207D0-9C1D-402A-B664-04E18184C404}">
      <formula1>0</formula1>
    </dataValidation>
  </dataValidation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895F8E-E2C7-4779-BF1A-864FBC32E36A}">
  <sheetPr codeName="Blad37">
    <tabColor theme="9" tint="0.59999389629810485"/>
  </sheetPr>
  <dimension ref="A2:Q33"/>
  <sheetViews>
    <sheetView showGridLines="0" zoomScale="80" zoomScaleNormal="80" workbookViewId="0">
      <selection activeCell="M14" sqref="M14:M15"/>
    </sheetView>
  </sheetViews>
  <sheetFormatPr defaultRowHeight="14.4" x14ac:dyDescent="0.3"/>
  <cols>
    <col min="1" max="1" width="2.77734375" customWidth="1"/>
    <col min="2" max="2" width="18.21875" customWidth="1"/>
    <col min="3" max="3" width="0.88671875" style="112" customWidth="1"/>
    <col min="4" max="4" width="9.109375" customWidth="1"/>
    <col min="5" max="5" width="0.88671875" style="112" customWidth="1"/>
    <col min="6" max="7" width="11.33203125" customWidth="1"/>
    <col min="8" max="8" width="0.88671875" style="112" customWidth="1"/>
    <col min="9" max="10" width="11.33203125" customWidth="1"/>
    <col min="11" max="11" width="0.88671875" style="112" customWidth="1"/>
    <col min="12" max="13" width="11.33203125" customWidth="1"/>
    <col min="14" max="14" width="21.44140625" bestFit="1" customWidth="1"/>
  </cols>
  <sheetData>
    <row r="2" spans="1:15" x14ac:dyDescent="0.3">
      <c r="B2" s="455" t="s">
        <v>187</v>
      </c>
      <c r="C2" s="455"/>
      <c r="D2" s="455"/>
      <c r="E2" s="455"/>
      <c r="F2" s="455"/>
      <c r="G2" s="455"/>
      <c r="H2" s="455"/>
      <c r="I2" s="455"/>
      <c r="J2" s="455"/>
      <c r="K2" s="455"/>
      <c r="L2" s="455"/>
      <c r="M2" s="455"/>
    </row>
    <row r="3" spans="1:15" x14ac:dyDescent="0.3">
      <c r="B3" s="455"/>
      <c r="C3" s="455"/>
      <c r="D3" s="455"/>
      <c r="E3" s="455"/>
      <c r="F3" s="455"/>
      <c r="G3" s="455"/>
      <c r="H3" s="455"/>
      <c r="I3" s="455"/>
      <c r="J3" s="455"/>
      <c r="K3" s="455"/>
      <c r="L3" s="455"/>
      <c r="M3" s="455"/>
    </row>
    <row r="5" spans="1:15" x14ac:dyDescent="0.3">
      <c r="A5" s="1"/>
      <c r="B5" s="193"/>
      <c r="D5" s="193" t="s">
        <v>87</v>
      </c>
      <c r="F5" s="193" t="s">
        <v>64</v>
      </c>
      <c r="G5" s="193" t="s">
        <v>102</v>
      </c>
      <c r="I5" s="193" t="s">
        <v>88</v>
      </c>
      <c r="J5" s="193" t="s">
        <v>102</v>
      </c>
      <c r="L5" s="193" t="s">
        <v>89</v>
      </c>
      <c r="M5" s="193" t="s">
        <v>102</v>
      </c>
      <c r="N5" s="4"/>
      <c r="O5" s="4"/>
    </row>
    <row r="6" spans="1:15" x14ac:dyDescent="0.3">
      <c r="A6" s="1"/>
      <c r="B6" s="11" t="str">
        <f>Gegevens!B75</f>
        <v>Gras</v>
      </c>
      <c r="D6" s="287"/>
      <c r="E6" s="242"/>
      <c r="F6" s="11">
        <f>Gegevens!C75</f>
        <v>905</v>
      </c>
      <c r="G6" s="280"/>
      <c r="I6" s="11">
        <v>72</v>
      </c>
      <c r="J6" s="280"/>
      <c r="L6" s="47">
        <f>Gegevens!E75</f>
        <v>0.18</v>
      </c>
      <c r="M6" s="288"/>
      <c r="N6" s="4"/>
      <c r="O6" s="4"/>
    </row>
    <row r="7" spans="1:15" x14ac:dyDescent="0.3">
      <c r="A7" s="1"/>
      <c r="B7" s="11" t="str">
        <f>Gegevens!B76</f>
        <v>Mais</v>
      </c>
      <c r="D7" s="287"/>
      <c r="E7" s="242"/>
      <c r="F7" s="11">
        <f>Gegevens!C76</f>
        <v>980</v>
      </c>
      <c r="G7" s="280"/>
      <c r="I7" s="11">
        <f>Gegevens!D76</f>
        <v>52</v>
      </c>
      <c r="J7" s="280"/>
      <c r="L7" s="47">
        <f>Gegevens!E76</f>
        <v>0.14000000000000001</v>
      </c>
      <c r="M7" s="288"/>
      <c r="N7" s="4"/>
      <c r="O7" s="4"/>
    </row>
    <row r="8" spans="1:15" x14ac:dyDescent="0.3">
      <c r="A8" s="1"/>
      <c r="B8" s="11" t="str">
        <f>Gegevens!B77</f>
        <v>Luzerne</v>
      </c>
      <c r="D8" s="287"/>
      <c r="E8" s="242"/>
      <c r="F8" s="11">
        <f>Gegevens!C77</f>
        <v>880</v>
      </c>
      <c r="G8" s="280"/>
      <c r="I8" s="11">
        <f>Gegevens!D77</f>
        <v>55</v>
      </c>
      <c r="J8" s="280"/>
      <c r="L8" s="47">
        <f>Gegevens!E77</f>
        <v>0.28000000000000003</v>
      </c>
      <c r="M8" s="288"/>
      <c r="N8" s="4"/>
      <c r="O8" s="4"/>
    </row>
    <row r="9" spans="1:15" x14ac:dyDescent="0.3">
      <c r="A9" s="1"/>
      <c r="B9" s="11" t="str">
        <f>Gegevens!B78</f>
        <v>Voederbieten</v>
      </c>
      <c r="D9" s="287"/>
      <c r="E9" s="242"/>
      <c r="F9" s="11">
        <f>Gegevens!C78</f>
        <v>1100</v>
      </c>
      <c r="G9" s="280"/>
      <c r="I9" s="11">
        <f>Gegevens!D78</f>
        <v>100</v>
      </c>
      <c r="J9" s="280"/>
      <c r="L9" s="47">
        <f>Gegevens!E78</f>
        <v>0.22</v>
      </c>
      <c r="M9" s="288"/>
      <c r="N9" s="4"/>
      <c r="O9" s="4"/>
    </row>
    <row r="10" spans="1:15" x14ac:dyDescent="0.3">
      <c r="A10" s="1"/>
      <c r="B10" s="11" t="str">
        <f>Gegevens!B79</f>
        <v>Sorghum</v>
      </c>
      <c r="D10" s="287"/>
      <c r="E10" s="242"/>
      <c r="F10" s="11">
        <f>Gegevens!C79</f>
        <v>869</v>
      </c>
      <c r="G10" s="280"/>
      <c r="I10" s="11">
        <f>Gegevens!D79</f>
        <v>67</v>
      </c>
      <c r="J10" s="280"/>
      <c r="L10" s="47">
        <f>Gegevens!E79</f>
        <v>0.18</v>
      </c>
      <c r="M10" s="288"/>
      <c r="N10" s="4"/>
      <c r="O10" s="4"/>
    </row>
    <row r="11" spans="1:15" x14ac:dyDescent="0.3">
      <c r="A11" s="1"/>
      <c r="B11" s="11" t="str">
        <f>Gegevens!B80</f>
        <v>Bierbostel</v>
      </c>
      <c r="D11" s="287"/>
      <c r="E11" s="242"/>
      <c r="F11" s="11">
        <f>Gegevens!C80</f>
        <v>965</v>
      </c>
      <c r="G11" s="280"/>
      <c r="I11" s="11">
        <f>Gegevens!D80</f>
        <v>157</v>
      </c>
      <c r="J11" s="280"/>
      <c r="L11" s="47">
        <f>Gegevens!E80</f>
        <v>0.21</v>
      </c>
      <c r="M11" s="288"/>
      <c r="N11" s="4"/>
      <c r="O11" s="4"/>
    </row>
    <row r="12" spans="1:15" x14ac:dyDescent="0.3">
      <c r="A12" s="1"/>
      <c r="B12" s="11" t="str">
        <f>Gegevens!B81</f>
        <v>Perspulp</v>
      </c>
      <c r="D12" s="287"/>
      <c r="E12" s="242"/>
      <c r="F12" s="11">
        <f>Gegevens!C81</f>
        <v>1085</v>
      </c>
      <c r="G12" s="280"/>
      <c r="I12" s="11">
        <f>Gegevens!D81</f>
        <v>96</v>
      </c>
      <c r="J12" s="280"/>
      <c r="L12" s="47">
        <f>Gegevens!E81</f>
        <v>0.28000000000000003</v>
      </c>
      <c r="M12" s="288"/>
      <c r="N12" s="4"/>
      <c r="O12" s="4"/>
    </row>
    <row r="13" spans="1:15" x14ac:dyDescent="0.3">
      <c r="A13" s="1"/>
      <c r="B13" s="11" t="str">
        <f>Gegevens!B82</f>
        <v>Citruspulp</v>
      </c>
      <c r="D13" s="287"/>
      <c r="E13" s="242"/>
      <c r="F13" s="11">
        <f>Gegevens!C82</f>
        <v>1111</v>
      </c>
      <c r="G13" s="280"/>
      <c r="I13" s="11">
        <f>Gegevens!D82</f>
        <v>85</v>
      </c>
      <c r="J13" s="280"/>
      <c r="L13" s="47">
        <f>Gegevens!E82</f>
        <v>0.14000000000000001</v>
      </c>
      <c r="M13" s="288"/>
      <c r="N13" s="4"/>
      <c r="O13" s="4"/>
    </row>
    <row r="14" spans="1:15" x14ac:dyDescent="0.3">
      <c r="A14" s="1"/>
      <c r="B14" s="11" t="s">
        <v>94</v>
      </c>
      <c r="D14" s="287"/>
      <c r="E14" s="242"/>
      <c r="F14" s="11"/>
      <c r="G14" s="280"/>
      <c r="I14" s="11"/>
      <c r="J14" s="280"/>
      <c r="L14" s="47"/>
      <c r="M14" s="288"/>
      <c r="N14" s="4"/>
      <c r="O14" s="4"/>
    </row>
    <row r="15" spans="1:15" x14ac:dyDescent="0.3">
      <c r="A15" s="1"/>
      <c r="B15" s="11" t="s">
        <v>94</v>
      </c>
      <c r="D15" s="287"/>
      <c r="E15" s="242"/>
      <c r="F15" s="11"/>
      <c r="G15" s="280"/>
      <c r="I15" s="11"/>
      <c r="J15" s="280"/>
      <c r="L15" s="47"/>
      <c r="M15" s="288"/>
    </row>
    <row r="16" spans="1:15" x14ac:dyDescent="0.3">
      <c r="B16" s="11" t="s">
        <v>94</v>
      </c>
      <c r="D16" s="287"/>
      <c r="E16" s="242"/>
      <c r="F16" s="11"/>
      <c r="G16" s="280"/>
      <c r="I16" s="11"/>
      <c r="J16" s="280"/>
      <c r="L16" s="47"/>
      <c r="M16" s="288"/>
    </row>
    <row r="23" spans="1:17" x14ac:dyDescent="0.3">
      <c r="A23" s="9" t="str">
        <f>IF(D23&gt;0,1,"")</f>
        <v/>
      </c>
      <c r="B23" s="9" t="str">
        <f>B6</f>
        <v>Gras</v>
      </c>
      <c r="C23" s="222"/>
      <c r="D23" s="9">
        <f>D6</f>
        <v>0</v>
      </c>
      <c r="E23" s="222"/>
      <c r="F23" s="9">
        <f>IF(G6=0,F6,G6)</f>
        <v>905</v>
      </c>
      <c r="G23" s="9">
        <f>IF(J6=0,I6,J6)</f>
        <v>72</v>
      </c>
      <c r="H23" s="222"/>
      <c r="I23" s="9">
        <f>IF(M6=0,L6,M6)</f>
        <v>0.18</v>
      </c>
    </row>
    <row r="24" spans="1:17" x14ac:dyDescent="0.3">
      <c r="A24" s="9" t="str">
        <f>IF(D24&gt;0,COUNT(A23)+1,"")</f>
        <v/>
      </c>
      <c r="B24" s="9" t="str">
        <f t="shared" ref="B24:D33" si="0">B7</f>
        <v>Mais</v>
      </c>
      <c r="C24" s="222"/>
      <c r="D24" s="9">
        <f t="shared" si="0"/>
        <v>0</v>
      </c>
      <c r="E24" s="222"/>
      <c r="F24" s="9">
        <f t="shared" ref="F24:F33" si="1">IF(G7=0,F7,G7)</f>
        <v>980</v>
      </c>
      <c r="G24" s="9">
        <f t="shared" ref="G24:G33" si="2">IF(J7=0,I7,J7)</f>
        <v>52</v>
      </c>
      <c r="H24" s="222"/>
      <c r="I24" s="9">
        <f t="shared" ref="I24:I33" si="3">IF(M7=0,L7,M7)</f>
        <v>0.14000000000000001</v>
      </c>
    </row>
    <row r="25" spans="1:17" x14ac:dyDescent="0.3">
      <c r="A25" s="9" t="str">
        <f>IF(D25&gt;0,COUNT(A23:A24)+1,"")</f>
        <v/>
      </c>
      <c r="B25" s="9" t="str">
        <f t="shared" si="0"/>
        <v>Luzerne</v>
      </c>
      <c r="C25" s="222"/>
      <c r="D25" s="9">
        <f t="shared" si="0"/>
        <v>0</v>
      </c>
      <c r="E25" s="222"/>
      <c r="F25" s="9">
        <f t="shared" si="1"/>
        <v>880</v>
      </c>
      <c r="G25" s="9">
        <f t="shared" si="2"/>
        <v>55</v>
      </c>
      <c r="H25" s="222"/>
      <c r="I25" s="9">
        <f t="shared" si="3"/>
        <v>0.28000000000000003</v>
      </c>
      <c r="Q25" s="245"/>
    </row>
    <row r="26" spans="1:17" x14ac:dyDescent="0.3">
      <c r="A26" s="9" t="str">
        <f>IF(D26&gt;0,COUNT(A23:A25)+1,"")</f>
        <v/>
      </c>
      <c r="B26" s="9" t="str">
        <f t="shared" si="0"/>
        <v>Voederbieten</v>
      </c>
      <c r="C26" s="222"/>
      <c r="D26" s="9">
        <f t="shared" si="0"/>
        <v>0</v>
      </c>
      <c r="E26" s="222"/>
      <c r="F26" s="9">
        <f t="shared" si="1"/>
        <v>1100</v>
      </c>
      <c r="G26" s="9">
        <f t="shared" si="2"/>
        <v>100</v>
      </c>
      <c r="H26" s="222"/>
      <c r="I26" s="9">
        <f t="shared" si="3"/>
        <v>0.22</v>
      </c>
    </row>
    <row r="27" spans="1:17" x14ac:dyDescent="0.3">
      <c r="A27" s="9" t="str">
        <f>IF(D27&gt;0,COUNT(A23:A26)+1,"")</f>
        <v/>
      </c>
      <c r="B27" s="9" t="str">
        <f t="shared" si="0"/>
        <v>Sorghum</v>
      </c>
      <c r="C27" s="222"/>
      <c r="D27" s="9">
        <f t="shared" si="0"/>
        <v>0</v>
      </c>
      <c r="E27" s="222"/>
      <c r="F27" s="9">
        <f t="shared" si="1"/>
        <v>869</v>
      </c>
      <c r="G27" s="9">
        <f t="shared" si="2"/>
        <v>67</v>
      </c>
      <c r="H27" s="222"/>
      <c r="I27" s="9">
        <f t="shared" si="3"/>
        <v>0.18</v>
      </c>
    </row>
    <row r="28" spans="1:17" x14ac:dyDescent="0.3">
      <c r="A28" s="9" t="str">
        <f>IF(D28&gt;0,COUNT(A23:A27)+1,"")</f>
        <v/>
      </c>
      <c r="B28" s="9" t="str">
        <f t="shared" si="0"/>
        <v>Bierbostel</v>
      </c>
      <c r="C28" s="222"/>
      <c r="D28" s="9">
        <f t="shared" si="0"/>
        <v>0</v>
      </c>
      <c r="E28" s="222"/>
      <c r="F28" s="9">
        <f t="shared" si="1"/>
        <v>965</v>
      </c>
      <c r="G28" s="9">
        <f t="shared" si="2"/>
        <v>157</v>
      </c>
      <c r="H28" s="222"/>
      <c r="I28" s="9">
        <f t="shared" si="3"/>
        <v>0.21</v>
      </c>
    </row>
    <row r="29" spans="1:17" x14ac:dyDescent="0.3">
      <c r="A29" s="9" t="str">
        <f>IF(D29&gt;0,COUNT(A23:A28)+1,"")</f>
        <v/>
      </c>
      <c r="B29" s="9" t="str">
        <f t="shared" si="0"/>
        <v>Perspulp</v>
      </c>
      <c r="C29" s="222"/>
      <c r="D29" s="9">
        <f t="shared" si="0"/>
        <v>0</v>
      </c>
      <c r="E29" s="222"/>
      <c r="F29" s="9">
        <f t="shared" si="1"/>
        <v>1085</v>
      </c>
      <c r="G29" s="9">
        <f t="shared" si="2"/>
        <v>96</v>
      </c>
      <c r="H29" s="222"/>
      <c r="I29" s="9">
        <f t="shared" si="3"/>
        <v>0.28000000000000003</v>
      </c>
    </row>
    <row r="30" spans="1:17" x14ac:dyDescent="0.3">
      <c r="A30" s="9" t="str">
        <f>IF(D30&gt;0,COUNT(A23:A29)+1,"")</f>
        <v/>
      </c>
      <c r="B30" s="9" t="str">
        <f t="shared" si="0"/>
        <v>Citruspulp</v>
      </c>
      <c r="C30" s="222"/>
      <c r="D30" s="9">
        <f t="shared" si="0"/>
        <v>0</v>
      </c>
      <c r="E30" s="222"/>
      <c r="F30" s="9">
        <f t="shared" si="1"/>
        <v>1111</v>
      </c>
      <c r="G30" s="9">
        <f t="shared" si="2"/>
        <v>85</v>
      </c>
      <c r="H30" s="222"/>
      <c r="I30" s="9">
        <f t="shared" si="3"/>
        <v>0.14000000000000001</v>
      </c>
    </row>
    <row r="31" spans="1:17" x14ac:dyDescent="0.3">
      <c r="A31" s="9" t="str">
        <f>IF(D31&gt;0,COUNT(A23:A30)+1,"")</f>
        <v/>
      </c>
      <c r="B31" s="9" t="str">
        <f t="shared" si="0"/>
        <v>Anders</v>
      </c>
      <c r="C31" s="222"/>
      <c r="D31" s="9">
        <f t="shared" si="0"/>
        <v>0</v>
      </c>
      <c r="E31" s="222"/>
      <c r="F31" s="9">
        <f t="shared" si="1"/>
        <v>0</v>
      </c>
      <c r="G31" s="9">
        <f t="shared" si="2"/>
        <v>0</v>
      </c>
      <c r="H31" s="222"/>
      <c r="I31" s="9">
        <f t="shared" si="3"/>
        <v>0</v>
      </c>
    </row>
    <row r="32" spans="1:17" x14ac:dyDescent="0.3">
      <c r="A32" s="9" t="str">
        <f>IF(D32&gt;0,COUNT(A23:A31)+1,"")</f>
        <v/>
      </c>
      <c r="B32" s="9" t="str">
        <f t="shared" si="0"/>
        <v>Anders</v>
      </c>
      <c r="C32" s="222"/>
      <c r="D32" s="9">
        <f t="shared" si="0"/>
        <v>0</v>
      </c>
      <c r="E32" s="222"/>
      <c r="F32" s="9">
        <f t="shared" si="1"/>
        <v>0</v>
      </c>
      <c r="G32" s="9">
        <f t="shared" si="2"/>
        <v>0</v>
      </c>
      <c r="H32" s="222"/>
      <c r="I32" s="9">
        <f t="shared" si="3"/>
        <v>0</v>
      </c>
    </row>
    <row r="33" spans="1:9" x14ac:dyDescent="0.3">
      <c r="A33" s="9" t="str">
        <f>IF(D33&gt;0,COUNT(A23:A32)+1,"")</f>
        <v/>
      </c>
      <c r="B33" s="9" t="str">
        <f t="shared" si="0"/>
        <v>Anders</v>
      </c>
      <c r="C33" s="222"/>
      <c r="D33" s="9">
        <f t="shared" si="0"/>
        <v>0</v>
      </c>
      <c r="E33" s="222"/>
      <c r="F33" s="9">
        <f t="shared" si="1"/>
        <v>0</v>
      </c>
      <c r="G33" s="9">
        <f t="shared" si="2"/>
        <v>0</v>
      </c>
      <c r="H33" s="222"/>
      <c r="I33" s="9">
        <f t="shared" si="3"/>
        <v>0</v>
      </c>
    </row>
  </sheetData>
  <sheetProtection sheet="1" objects="1" scenarios="1" selectLockedCells="1"/>
  <mergeCells count="1">
    <mergeCell ref="B2:M3"/>
  </mergeCells>
  <dataValidations count="1">
    <dataValidation type="decimal" operator="greaterThanOrEqual" allowBlank="1" showInputMessage="1" showErrorMessage="1" errorTitle="Fout" error="Typ een getal groter of gelijk aan 0." sqref="D6:D16 G6:G16 J6:J16 M6:M16" xr:uid="{B90F648F-DDB8-4D0B-8070-F4213A5BBE82}">
      <formula1>0</formula1>
    </dataValidation>
  </dataValidation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D8FAB-8D25-41CD-BDE7-CE799D6FF478}">
  <sheetPr codeName="Blad38">
    <tabColor theme="9" tint="0.59999389629810485"/>
  </sheetPr>
  <dimension ref="A2:M33"/>
  <sheetViews>
    <sheetView showGridLines="0" zoomScale="80" zoomScaleNormal="80" workbookViewId="0">
      <selection activeCell="M12" sqref="M12"/>
    </sheetView>
  </sheetViews>
  <sheetFormatPr defaultRowHeight="14.4" x14ac:dyDescent="0.3"/>
  <cols>
    <col min="1" max="1" width="2.77734375" customWidth="1"/>
    <col min="2" max="2" width="18.21875" customWidth="1"/>
    <col min="3" max="3" width="0.88671875" style="112" customWidth="1"/>
    <col min="4" max="4" width="9.109375" customWidth="1"/>
    <col min="5" max="5" width="0.88671875" style="112" customWidth="1"/>
    <col min="6" max="7" width="11.33203125" customWidth="1"/>
    <col min="8" max="8" width="0.88671875" style="112" customWidth="1"/>
    <col min="9" max="10" width="11.33203125" customWidth="1"/>
    <col min="11" max="11" width="0.88671875" style="112" customWidth="1"/>
    <col min="12" max="13" width="11.33203125" customWidth="1"/>
  </cols>
  <sheetData>
    <row r="2" spans="2:13" x14ac:dyDescent="0.3">
      <c r="B2" s="455" t="s">
        <v>68</v>
      </c>
      <c r="C2" s="455"/>
      <c r="D2" s="455"/>
      <c r="E2" s="455"/>
      <c r="F2" s="455"/>
      <c r="G2" s="455"/>
      <c r="H2" s="455"/>
      <c r="I2" s="455"/>
      <c r="J2" s="455"/>
      <c r="K2" s="455"/>
      <c r="L2" s="455"/>
      <c r="M2" s="455"/>
    </row>
    <row r="3" spans="2:13" x14ac:dyDescent="0.3">
      <c r="B3" s="455"/>
      <c r="C3" s="455"/>
      <c r="D3" s="455"/>
      <c r="E3" s="455"/>
      <c r="F3" s="455"/>
      <c r="G3" s="455"/>
      <c r="H3" s="455"/>
      <c r="I3" s="455"/>
      <c r="J3" s="455"/>
      <c r="K3" s="455"/>
      <c r="L3" s="455"/>
      <c r="M3" s="455"/>
    </row>
    <row r="5" spans="2:13" x14ac:dyDescent="0.3">
      <c r="B5" s="193"/>
      <c r="D5" s="193" t="s">
        <v>87</v>
      </c>
      <c r="F5" s="193" t="s">
        <v>64</v>
      </c>
      <c r="G5" s="193" t="s">
        <v>102</v>
      </c>
      <c r="I5" s="193" t="s">
        <v>88</v>
      </c>
      <c r="J5" s="193" t="s">
        <v>102</v>
      </c>
      <c r="L5" s="193" t="s">
        <v>89</v>
      </c>
      <c r="M5" s="193" t="s">
        <v>102</v>
      </c>
    </row>
    <row r="6" spans="2:13" x14ac:dyDescent="0.3">
      <c r="B6" s="3" t="str">
        <f>Gegevens!B84</f>
        <v>A-Brok</v>
      </c>
      <c r="D6" s="287"/>
      <c r="E6" s="242"/>
      <c r="F6" s="3">
        <f>Gegevens!C84</f>
        <v>940</v>
      </c>
      <c r="G6" s="280"/>
      <c r="I6" s="3">
        <f>Gegevens!D84</f>
        <v>90</v>
      </c>
      <c r="J6" s="280"/>
      <c r="L6" s="49">
        <f>Gegevens!E84</f>
        <v>0.31</v>
      </c>
      <c r="M6" s="288"/>
    </row>
    <row r="7" spans="2:13" x14ac:dyDescent="0.3">
      <c r="B7" s="3" t="str">
        <f>Gegevens!B85</f>
        <v>B-Brok</v>
      </c>
      <c r="D7" s="287"/>
      <c r="E7" s="242"/>
      <c r="F7" s="3">
        <f>Gegevens!C85</f>
        <v>940</v>
      </c>
      <c r="G7" s="280"/>
      <c r="I7" s="3">
        <f>Gegevens!D85</f>
        <v>120</v>
      </c>
      <c r="J7" s="280"/>
      <c r="L7" s="49">
        <f>Gegevens!E85</f>
        <v>0.32</v>
      </c>
      <c r="M7" s="288"/>
    </row>
    <row r="8" spans="2:13" x14ac:dyDescent="0.3">
      <c r="B8" s="3" t="str">
        <f>Gegevens!B86</f>
        <v>Eiwitkernbrok</v>
      </c>
      <c r="D8" s="287"/>
      <c r="E8" s="242"/>
      <c r="F8" s="3">
        <f>Gegevens!C86</f>
        <v>900</v>
      </c>
      <c r="G8" s="280"/>
      <c r="I8" s="3">
        <f>Gegevens!D86</f>
        <v>180</v>
      </c>
      <c r="J8" s="280"/>
      <c r="L8" s="49">
        <f>Gegevens!E86</f>
        <v>0.39</v>
      </c>
      <c r="M8" s="288"/>
    </row>
    <row r="9" spans="2:13" x14ac:dyDescent="0.3">
      <c r="B9" s="3" t="str">
        <f>Gegevens!B87</f>
        <v>Zetmeel brok</v>
      </c>
      <c r="D9" s="287"/>
      <c r="E9" s="242"/>
      <c r="F9" s="3">
        <f>Gegevens!C87</f>
        <v>960</v>
      </c>
      <c r="G9" s="280"/>
      <c r="I9" s="3">
        <f>Gegevens!D87</f>
        <v>90</v>
      </c>
      <c r="J9" s="280"/>
      <c r="L9" s="49">
        <f>Gegevens!E87</f>
        <v>0.34</v>
      </c>
      <c r="M9" s="288"/>
    </row>
    <row r="10" spans="2:13" x14ac:dyDescent="0.3">
      <c r="B10" s="3" t="str">
        <f>Gegevens!B88</f>
        <v>Graan (Tarwe)</v>
      </c>
      <c r="D10" s="287"/>
      <c r="E10" s="242"/>
      <c r="F10" s="3">
        <f>Gegevens!C88</f>
        <v>1150</v>
      </c>
      <c r="G10" s="280"/>
      <c r="I10" s="3">
        <f>Gegevens!D88</f>
        <v>86</v>
      </c>
      <c r="J10" s="280"/>
      <c r="L10" s="49">
        <f>Gegevens!E88</f>
        <v>0.19</v>
      </c>
      <c r="M10" s="288"/>
    </row>
    <row r="11" spans="2:13" x14ac:dyDescent="0.3">
      <c r="B11" s="3" t="str">
        <f>Gegevens!B89</f>
        <v>CCM</v>
      </c>
      <c r="D11" s="287"/>
      <c r="E11" s="242"/>
      <c r="F11" s="3">
        <f>Gegevens!C89</f>
        <v>1200</v>
      </c>
      <c r="G11" s="280"/>
      <c r="I11" s="3">
        <f>Gegevens!D89</f>
        <v>73</v>
      </c>
      <c r="J11" s="280"/>
      <c r="L11" s="49">
        <f>Gegevens!E89</f>
        <v>0.18</v>
      </c>
      <c r="M11" s="288"/>
    </row>
    <row r="12" spans="2:13" x14ac:dyDescent="0.3">
      <c r="B12" s="3" t="str">
        <f>Gegevens!B90</f>
        <v>Soja (44/7)</v>
      </c>
      <c r="D12" s="287"/>
      <c r="E12" s="242"/>
      <c r="F12" s="3">
        <f>Gegevens!C90</f>
        <v>1136</v>
      </c>
      <c r="G12" s="280"/>
      <c r="I12" s="3">
        <f>Gegevens!D90</f>
        <v>250</v>
      </c>
      <c r="J12" s="280"/>
      <c r="L12" s="49">
        <f>Gegevens!E90</f>
        <v>0.34</v>
      </c>
      <c r="M12" s="288"/>
    </row>
    <row r="13" spans="2:13" x14ac:dyDescent="0.3">
      <c r="B13" s="3" t="s">
        <v>94</v>
      </c>
      <c r="D13" s="287"/>
      <c r="E13" s="242"/>
      <c r="F13" s="3"/>
      <c r="G13" s="280"/>
      <c r="I13" s="3"/>
      <c r="J13" s="280"/>
      <c r="L13" s="49"/>
      <c r="M13" s="288"/>
    </row>
    <row r="14" spans="2:13" x14ac:dyDescent="0.3">
      <c r="B14" s="3" t="s">
        <v>94</v>
      </c>
      <c r="D14" s="287"/>
      <c r="E14" s="242"/>
      <c r="F14" s="3"/>
      <c r="G14" s="280"/>
      <c r="I14" s="3"/>
      <c r="J14" s="280"/>
      <c r="L14" s="49"/>
      <c r="M14" s="288"/>
    </row>
    <row r="15" spans="2:13" x14ac:dyDescent="0.3">
      <c r="B15" s="3" t="s">
        <v>94</v>
      </c>
      <c r="D15" s="287"/>
      <c r="E15" s="242"/>
      <c r="F15" s="3"/>
      <c r="G15" s="280"/>
      <c r="I15" s="3"/>
      <c r="J15" s="280"/>
      <c r="L15" s="49"/>
      <c r="M15" s="288"/>
    </row>
    <row r="22" spans="1:9" x14ac:dyDescent="0.3">
      <c r="A22" s="9"/>
      <c r="B22" s="10"/>
      <c r="C22" s="222"/>
      <c r="D22" s="10" t="s">
        <v>87</v>
      </c>
      <c r="E22" s="222"/>
      <c r="F22" s="10" t="s">
        <v>64</v>
      </c>
      <c r="G22" s="10" t="s">
        <v>88</v>
      </c>
      <c r="H22" s="222"/>
      <c r="I22" s="10" t="s">
        <v>89</v>
      </c>
    </row>
    <row r="23" spans="1:9" x14ac:dyDescent="0.3">
      <c r="A23" s="9" t="str">
        <f>IF(D23&gt;0,1,"")</f>
        <v/>
      </c>
      <c r="B23" s="10" t="str">
        <f>B6</f>
        <v>A-Brok</v>
      </c>
      <c r="C23" s="222"/>
      <c r="D23" s="97">
        <f>D6</f>
        <v>0</v>
      </c>
      <c r="E23" s="243"/>
      <c r="F23" s="10">
        <f>IF(G6=0,F6,G6)</f>
        <v>940</v>
      </c>
      <c r="G23" s="10">
        <f>IF(J6=0,I6,J6)</f>
        <v>90</v>
      </c>
      <c r="H23" s="222"/>
      <c r="I23" s="100">
        <f>IF(M6=0,L6,M6)</f>
        <v>0.31</v>
      </c>
    </row>
    <row r="24" spans="1:9" x14ac:dyDescent="0.3">
      <c r="A24" s="9" t="str">
        <f>IF(D24&gt;0,COUNT(A23)+1,"")</f>
        <v/>
      </c>
      <c r="B24" s="10" t="str">
        <f t="shared" ref="B24:D32" si="0">B7</f>
        <v>B-Brok</v>
      </c>
      <c r="C24" s="222"/>
      <c r="D24" s="97">
        <f t="shared" si="0"/>
        <v>0</v>
      </c>
      <c r="E24" s="243"/>
      <c r="F24" s="10">
        <f t="shared" ref="F24:F32" si="1">IF(G7=0,F7,G7)</f>
        <v>940</v>
      </c>
      <c r="G24" s="10">
        <f t="shared" ref="G24:G32" si="2">IF(J7=0,I7,J7)</f>
        <v>120</v>
      </c>
      <c r="H24" s="222"/>
      <c r="I24" s="100">
        <f t="shared" ref="I24:I32" si="3">IF(M7=0,L7,M7)</f>
        <v>0.32</v>
      </c>
    </row>
    <row r="25" spans="1:9" x14ac:dyDescent="0.3">
      <c r="A25" s="9" t="str">
        <f>IF(D25&gt;0,COUNT(A23:A24)+1,"")</f>
        <v/>
      </c>
      <c r="B25" s="10" t="str">
        <f t="shared" si="0"/>
        <v>Eiwitkernbrok</v>
      </c>
      <c r="C25" s="222"/>
      <c r="D25" s="97">
        <f t="shared" si="0"/>
        <v>0</v>
      </c>
      <c r="E25" s="243"/>
      <c r="F25" s="10">
        <f t="shared" si="1"/>
        <v>900</v>
      </c>
      <c r="G25" s="10">
        <f t="shared" si="2"/>
        <v>180</v>
      </c>
      <c r="H25" s="222"/>
      <c r="I25" s="100">
        <f t="shared" si="3"/>
        <v>0.39</v>
      </c>
    </row>
    <row r="26" spans="1:9" x14ac:dyDescent="0.3">
      <c r="A26" s="9" t="str">
        <f>IF(D26&gt;0,COUNT(A23:A25)+1,"")</f>
        <v/>
      </c>
      <c r="B26" s="10" t="str">
        <f t="shared" si="0"/>
        <v>Zetmeel brok</v>
      </c>
      <c r="C26" s="222"/>
      <c r="D26" s="97">
        <f t="shared" si="0"/>
        <v>0</v>
      </c>
      <c r="E26" s="243"/>
      <c r="F26" s="10">
        <f t="shared" si="1"/>
        <v>960</v>
      </c>
      <c r="G26" s="10">
        <f t="shared" si="2"/>
        <v>90</v>
      </c>
      <c r="H26" s="222"/>
      <c r="I26" s="100">
        <f t="shared" si="3"/>
        <v>0.34</v>
      </c>
    </row>
    <row r="27" spans="1:9" x14ac:dyDescent="0.3">
      <c r="A27" s="9" t="str">
        <f>IF(D27&gt;0,COUNT(A23:A26)+1,"")</f>
        <v/>
      </c>
      <c r="B27" s="10" t="str">
        <f t="shared" si="0"/>
        <v>Graan (Tarwe)</v>
      </c>
      <c r="C27" s="222"/>
      <c r="D27" s="97">
        <f t="shared" si="0"/>
        <v>0</v>
      </c>
      <c r="E27" s="243"/>
      <c r="F27" s="10">
        <f t="shared" si="1"/>
        <v>1150</v>
      </c>
      <c r="G27" s="10">
        <f t="shared" si="2"/>
        <v>86</v>
      </c>
      <c r="H27" s="222"/>
      <c r="I27" s="100">
        <f t="shared" si="3"/>
        <v>0.19</v>
      </c>
    </row>
    <row r="28" spans="1:9" x14ac:dyDescent="0.3">
      <c r="A28" s="9" t="str">
        <f>IF(D28&gt;0,COUNT(A23:A27)+1,"")</f>
        <v/>
      </c>
      <c r="B28" s="10" t="str">
        <f t="shared" si="0"/>
        <v>CCM</v>
      </c>
      <c r="C28" s="222"/>
      <c r="D28" s="97">
        <f t="shared" si="0"/>
        <v>0</v>
      </c>
      <c r="E28" s="243"/>
      <c r="F28" s="10">
        <f t="shared" si="1"/>
        <v>1200</v>
      </c>
      <c r="G28" s="10">
        <f t="shared" si="2"/>
        <v>73</v>
      </c>
      <c r="H28" s="222"/>
      <c r="I28" s="100">
        <f t="shared" si="3"/>
        <v>0.18</v>
      </c>
    </row>
    <row r="29" spans="1:9" x14ac:dyDescent="0.3">
      <c r="A29" s="9" t="str">
        <f>IF(D29&gt;0,COUNT(A23:A28)+1,"")</f>
        <v/>
      </c>
      <c r="B29" s="10" t="str">
        <f t="shared" si="0"/>
        <v>Soja (44/7)</v>
      </c>
      <c r="C29" s="222"/>
      <c r="D29" s="97">
        <f t="shared" si="0"/>
        <v>0</v>
      </c>
      <c r="E29" s="243"/>
      <c r="F29" s="10">
        <f t="shared" si="1"/>
        <v>1136</v>
      </c>
      <c r="G29" s="10">
        <f t="shared" si="2"/>
        <v>250</v>
      </c>
      <c r="H29" s="222"/>
      <c r="I29" s="100">
        <f t="shared" si="3"/>
        <v>0.34</v>
      </c>
    </row>
    <row r="30" spans="1:9" x14ac:dyDescent="0.3">
      <c r="A30" s="9" t="str">
        <f>IF(D30&gt;0,COUNT(A23:A29)+1,"")</f>
        <v/>
      </c>
      <c r="B30" s="10" t="str">
        <f t="shared" si="0"/>
        <v>Anders</v>
      </c>
      <c r="C30" s="222"/>
      <c r="D30" s="97">
        <f t="shared" si="0"/>
        <v>0</v>
      </c>
      <c r="E30" s="243"/>
      <c r="F30" s="10">
        <f t="shared" si="1"/>
        <v>0</v>
      </c>
      <c r="G30" s="10">
        <f t="shared" si="2"/>
        <v>0</v>
      </c>
      <c r="H30" s="222"/>
      <c r="I30" s="100">
        <f t="shared" si="3"/>
        <v>0</v>
      </c>
    </row>
    <row r="31" spans="1:9" x14ac:dyDescent="0.3">
      <c r="A31" s="9" t="str">
        <f>IF(D31&gt;0,COUNT(A23:A30)+1,"")</f>
        <v/>
      </c>
      <c r="B31" s="10" t="str">
        <f t="shared" si="0"/>
        <v>Anders</v>
      </c>
      <c r="C31" s="222"/>
      <c r="D31" s="97">
        <f t="shared" si="0"/>
        <v>0</v>
      </c>
      <c r="E31" s="243"/>
      <c r="F31" s="10">
        <f t="shared" si="1"/>
        <v>0</v>
      </c>
      <c r="G31" s="10">
        <f t="shared" si="2"/>
        <v>0</v>
      </c>
      <c r="H31" s="222"/>
      <c r="I31" s="100">
        <f t="shared" si="3"/>
        <v>0</v>
      </c>
    </row>
    <row r="32" spans="1:9" x14ac:dyDescent="0.3">
      <c r="A32" s="9" t="str">
        <f>IF(D32&gt;0,COUNT(A23:A31)+1,"")</f>
        <v/>
      </c>
      <c r="B32" s="10" t="str">
        <f t="shared" si="0"/>
        <v>Anders</v>
      </c>
      <c r="C32" s="222"/>
      <c r="D32" s="97">
        <f t="shared" si="0"/>
        <v>0</v>
      </c>
      <c r="E32" s="243"/>
      <c r="F32" s="10">
        <f t="shared" si="1"/>
        <v>0</v>
      </c>
      <c r="G32" s="10">
        <f t="shared" si="2"/>
        <v>0</v>
      </c>
      <c r="H32" s="222"/>
      <c r="I32" s="100">
        <f t="shared" si="3"/>
        <v>0</v>
      </c>
    </row>
    <row r="33" spans="4:9" x14ac:dyDescent="0.3">
      <c r="D33" s="86"/>
      <c r="E33" s="242"/>
      <c r="F33" s="4"/>
      <c r="G33" s="4"/>
      <c r="I33" s="45"/>
    </row>
  </sheetData>
  <sheetProtection sheet="1" objects="1" scenarios="1" selectLockedCells="1"/>
  <mergeCells count="1">
    <mergeCell ref="B2:M3"/>
  </mergeCells>
  <dataValidations count="1">
    <dataValidation type="decimal" operator="greaterThanOrEqual" allowBlank="1" showInputMessage="1" showErrorMessage="1" errorTitle="Fout" error="Typ een getal groter of gelijk aan 0." sqref="D6:D15 G6:G14 G15 J6:J15 M6:M15" xr:uid="{948EBB40-9E43-4490-9E2D-6181D6658AD5}">
      <formula1>0</formula1>
    </dataValidation>
  </dataValidation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402087-0BB0-46F4-9CB9-D15A7979CBA6}">
  <sheetPr codeName="Blad39">
    <tabColor theme="9" tint="0.59999389629810485"/>
  </sheetPr>
  <dimension ref="A2:M32"/>
  <sheetViews>
    <sheetView showGridLines="0" zoomScale="80" zoomScaleNormal="80" workbookViewId="0">
      <selection activeCell="G14" sqref="G14"/>
    </sheetView>
  </sheetViews>
  <sheetFormatPr defaultRowHeight="14.4" x14ac:dyDescent="0.3"/>
  <cols>
    <col min="1" max="1" width="2.77734375" customWidth="1"/>
    <col min="2" max="2" width="18.21875" customWidth="1"/>
    <col min="3" max="3" width="0.88671875" style="112" customWidth="1"/>
    <col min="4" max="4" width="9.109375" customWidth="1"/>
    <col min="5" max="5" width="0.88671875" style="112" customWidth="1"/>
    <col min="6" max="7" width="11.33203125" customWidth="1"/>
    <col min="8" max="8" width="0.88671875" style="112" customWidth="1"/>
    <col min="9" max="10" width="11.33203125" customWidth="1"/>
    <col min="11" max="11" width="0.88671875" style="112" customWidth="1"/>
    <col min="12" max="13" width="11.33203125" customWidth="1"/>
  </cols>
  <sheetData>
    <row r="2" spans="2:13" x14ac:dyDescent="0.3">
      <c r="B2" s="455" t="s">
        <v>69</v>
      </c>
      <c r="C2" s="455"/>
      <c r="D2" s="455"/>
      <c r="E2" s="455"/>
      <c r="F2" s="455"/>
      <c r="G2" s="455"/>
      <c r="H2" s="455"/>
      <c r="I2" s="455"/>
      <c r="J2" s="455"/>
      <c r="K2" s="455"/>
      <c r="L2" s="455"/>
      <c r="M2" s="455"/>
    </row>
    <row r="3" spans="2:13" x14ac:dyDescent="0.3">
      <c r="B3" s="455"/>
      <c r="C3" s="455"/>
      <c r="D3" s="455"/>
      <c r="E3" s="455"/>
      <c r="F3" s="455"/>
      <c r="G3" s="455"/>
      <c r="H3" s="455"/>
      <c r="I3" s="455"/>
      <c r="J3" s="455"/>
      <c r="K3" s="455"/>
      <c r="L3" s="455"/>
      <c r="M3" s="455"/>
    </row>
    <row r="5" spans="2:13" x14ac:dyDescent="0.3">
      <c r="B5" s="193"/>
      <c r="D5" s="193" t="s">
        <v>87</v>
      </c>
      <c r="F5" s="193" t="s">
        <v>64</v>
      </c>
      <c r="G5" s="193" t="s">
        <v>102</v>
      </c>
      <c r="I5" s="193" t="s">
        <v>88</v>
      </c>
      <c r="J5" s="193" t="s">
        <v>102</v>
      </c>
      <c r="L5" s="193" t="s">
        <v>89</v>
      </c>
      <c r="M5" s="193" t="s">
        <v>102</v>
      </c>
    </row>
    <row r="6" spans="2:13" x14ac:dyDescent="0.3">
      <c r="B6" s="3" t="str">
        <f>Gegevens!B84</f>
        <v>A-Brok</v>
      </c>
      <c r="D6" s="287"/>
      <c r="E6" s="242"/>
      <c r="F6" s="3">
        <f>Gegevens!C84</f>
        <v>940</v>
      </c>
      <c r="G6" s="280"/>
      <c r="I6" s="3">
        <f>Gegevens!D84</f>
        <v>90</v>
      </c>
      <c r="J6" s="280"/>
      <c r="L6" s="49">
        <f>Gegevens!E84</f>
        <v>0.31</v>
      </c>
      <c r="M6" s="288"/>
    </row>
    <row r="7" spans="2:13" x14ac:dyDescent="0.3">
      <c r="B7" s="3" t="str">
        <f>Gegevens!B85</f>
        <v>B-Brok</v>
      </c>
      <c r="D7" s="287"/>
      <c r="E7" s="242"/>
      <c r="F7" s="3">
        <f>Gegevens!C85</f>
        <v>940</v>
      </c>
      <c r="G7" s="280"/>
      <c r="I7" s="3">
        <f>Gegevens!D85</f>
        <v>120</v>
      </c>
      <c r="J7" s="280"/>
      <c r="L7" s="49">
        <f>Gegevens!E85</f>
        <v>0.32</v>
      </c>
      <c r="M7" s="288"/>
    </row>
    <row r="8" spans="2:13" x14ac:dyDescent="0.3">
      <c r="B8" s="3" t="str">
        <f>Gegevens!B86</f>
        <v>Eiwitkernbrok</v>
      </c>
      <c r="D8" s="287"/>
      <c r="E8" s="242"/>
      <c r="F8" s="3">
        <f>Gegevens!C86</f>
        <v>900</v>
      </c>
      <c r="G8" s="280"/>
      <c r="I8" s="3">
        <f>Gegevens!D86</f>
        <v>180</v>
      </c>
      <c r="J8" s="280"/>
      <c r="L8" s="49">
        <f>Gegevens!E86</f>
        <v>0.39</v>
      </c>
      <c r="M8" s="288"/>
    </row>
    <row r="9" spans="2:13" x14ac:dyDescent="0.3">
      <c r="B9" s="3" t="str">
        <f>Gegevens!B87</f>
        <v>Zetmeel brok</v>
      </c>
      <c r="D9" s="287"/>
      <c r="E9" s="242"/>
      <c r="F9" s="3">
        <f>Gegevens!C87</f>
        <v>960</v>
      </c>
      <c r="G9" s="280"/>
      <c r="I9" s="3">
        <f>Gegevens!D87</f>
        <v>90</v>
      </c>
      <c r="J9" s="280"/>
      <c r="L9" s="49">
        <f>Gegevens!E87</f>
        <v>0.34</v>
      </c>
      <c r="M9" s="288"/>
    </row>
    <row r="10" spans="2:13" x14ac:dyDescent="0.3">
      <c r="B10" s="3" t="str">
        <f>Gegevens!B88</f>
        <v>Graan (Tarwe)</v>
      </c>
      <c r="D10" s="287"/>
      <c r="E10" s="242"/>
      <c r="F10" s="3">
        <f>Gegevens!C88</f>
        <v>1150</v>
      </c>
      <c r="G10" s="280"/>
      <c r="I10" s="3">
        <f>Gegevens!D88</f>
        <v>86</v>
      </c>
      <c r="J10" s="280"/>
      <c r="L10" s="49">
        <f>Gegevens!E88</f>
        <v>0.19</v>
      </c>
      <c r="M10" s="288"/>
    </row>
    <row r="11" spans="2:13" x14ac:dyDescent="0.3">
      <c r="B11" s="3" t="str">
        <f>Gegevens!B89</f>
        <v>CCM</v>
      </c>
      <c r="D11" s="287"/>
      <c r="E11" s="242"/>
      <c r="F11" s="3">
        <f>Gegevens!C89</f>
        <v>1200</v>
      </c>
      <c r="G11" s="280"/>
      <c r="I11" s="3">
        <f>Gegevens!D89</f>
        <v>73</v>
      </c>
      <c r="J11" s="280"/>
      <c r="L11" s="49">
        <f>Gegevens!E89</f>
        <v>0.18</v>
      </c>
      <c r="M11" s="288"/>
    </row>
    <row r="12" spans="2:13" x14ac:dyDescent="0.3">
      <c r="B12" s="3" t="str">
        <f>Gegevens!B90</f>
        <v>Soja (44/7)</v>
      </c>
      <c r="D12" s="287"/>
      <c r="E12" s="242"/>
      <c r="F12" s="3">
        <f>Gegevens!C90</f>
        <v>1136</v>
      </c>
      <c r="G12" s="280"/>
      <c r="I12" s="3">
        <f>Gegevens!D90</f>
        <v>250</v>
      </c>
      <c r="J12" s="280"/>
      <c r="L12" s="49">
        <f>Gegevens!E90</f>
        <v>0.34</v>
      </c>
      <c r="M12" s="288"/>
    </row>
    <row r="13" spans="2:13" x14ac:dyDescent="0.3">
      <c r="B13" s="3" t="s">
        <v>94</v>
      </c>
      <c r="D13" s="287"/>
      <c r="E13" s="242"/>
      <c r="F13" s="3"/>
      <c r="G13" s="280"/>
      <c r="I13" s="3"/>
      <c r="J13" s="280"/>
      <c r="L13" s="49"/>
      <c r="M13" s="288"/>
    </row>
    <row r="14" spans="2:13" x14ac:dyDescent="0.3">
      <c r="B14" s="3" t="s">
        <v>94</v>
      </c>
      <c r="D14" s="287"/>
      <c r="E14" s="242"/>
      <c r="F14" s="3"/>
      <c r="G14" s="280"/>
      <c r="I14" s="3"/>
      <c r="J14" s="280"/>
      <c r="L14" s="49"/>
      <c r="M14" s="288"/>
    </row>
    <row r="15" spans="2:13" x14ac:dyDescent="0.3">
      <c r="B15" s="3" t="s">
        <v>94</v>
      </c>
      <c r="D15" s="287"/>
      <c r="E15" s="242"/>
      <c r="F15" s="3"/>
      <c r="G15" s="280"/>
      <c r="I15" s="3"/>
      <c r="J15" s="280"/>
      <c r="L15" s="49"/>
      <c r="M15" s="288"/>
    </row>
    <row r="22" spans="1:9" x14ac:dyDescent="0.3">
      <c r="A22" s="9"/>
      <c r="B22" s="10"/>
      <c r="C22" s="222"/>
      <c r="D22" s="10" t="s">
        <v>87</v>
      </c>
      <c r="E22" s="222"/>
      <c r="F22" s="10" t="s">
        <v>64</v>
      </c>
      <c r="G22" s="10" t="s">
        <v>88</v>
      </c>
      <c r="H22" s="222"/>
      <c r="I22" s="10" t="s">
        <v>89</v>
      </c>
    </row>
    <row r="23" spans="1:9" x14ac:dyDescent="0.3">
      <c r="A23" s="9" t="str">
        <f>IF(D23&gt;0,1,"")</f>
        <v/>
      </c>
      <c r="B23" s="10" t="str">
        <f>B6</f>
        <v>A-Brok</v>
      </c>
      <c r="C23" s="222"/>
      <c r="D23" s="97">
        <f>D6</f>
        <v>0</v>
      </c>
      <c r="E23" s="243"/>
      <c r="F23" s="10">
        <f>IF(G6=0,F6,G6)</f>
        <v>940</v>
      </c>
      <c r="G23" s="10">
        <f>IF(J6=0,I6,J6)</f>
        <v>90</v>
      </c>
      <c r="H23" s="222"/>
      <c r="I23" s="100">
        <f>IF(M6=0,L6,M6)</f>
        <v>0.31</v>
      </c>
    </row>
    <row r="24" spans="1:9" x14ac:dyDescent="0.3">
      <c r="A24" s="9" t="str">
        <f>IF(D24&gt;0,COUNT(A23)+1,"")</f>
        <v/>
      </c>
      <c r="B24" s="10" t="str">
        <f t="shared" ref="B24:D32" si="0">B7</f>
        <v>B-Brok</v>
      </c>
      <c r="C24" s="222"/>
      <c r="D24" s="97">
        <f t="shared" si="0"/>
        <v>0</v>
      </c>
      <c r="E24" s="243"/>
      <c r="F24" s="10">
        <f t="shared" ref="F24:F32" si="1">IF(G7=0,F7,G7)</f>
        <v>940</v>
      </c>
      <c r="G24" s="10">
        <f t="shared" ref="G24:G32" si="2">IF(J7=0,I7,J7)</f>
        <v>120</v>
      </c>
      <c r="H24" s="222"/>
      <c r="I24" s="100">
        <f t="shared" ref="I24:I32" si="3">IF(M7=0,L7,M7)</f>
        <v>0.32</v>
      </c>
    </row>
    <row r="25" spans="1:9" x14ac:dyDescent="0.3">
      <c r="A25" s="9" t="str">
        <f>IF(D25&gt;0,COUNT(A23:A24)+1,"")</f>
        <v/>
      </c>
      <c r="B25" s="10" t="str">
        <f t="shared" si="0"/>
        <v>Eiwitkernbrok</v>
      </c>
      <c r="C25" s="222"/>
      <c r="D25" s="97">
        <f t="shared" si="0"/>
        <v>0</v>
      </c>
      <c r="E25" s="243"/>
      <c r="F25" s="10">
        <f t="shared" si="1"/>
        <v>900</v>
      </c>
      <c r="G25" s="10">
        <f t="shared" si="2"/>
        <v>180</v>
      </c>
      <c r="H25" s="222"/>
      <c r="I25" s="100">
        <f t="shared" si="3"/>
        <v>0.39</v>
      </c>
    </row>
    <row r="26" spans="1:9" x14ac:dyDescent="0.3">
      <c r="A26" s="9" t="str">
        <f>IF(D26&gt;0,COUNT(A23:A25)+1,"")</f>
        <v/>
      </c>
      <c r="B26" s="10" t="str">
        <f t="shared" si="0"/>
        <v>Zetmeel brok</v>
      </c>
      <c r="C26" s="222"/>
      <c r="D26" s="97">
        <f t="shared" si="0"/>
        <v>0</v>
      </c>
      <c r="E26" s="243"/>
      <c r="F26" s="10">
        <f t="shared" si="1"/>
        <v>960</v>
      </c>
      <c r="G26" s="10">
        <f t="shared" si="2"/>
        <v>90</v>
      </c>
      <c r="H26" s="222"/>
      <c r="I26" s="100">
        <f t="shared" si="3"/>
        <v>0.34</v>
      </c>
    </row>
    <row r="27" spans="1:9" x14ac:dyDescent="0.3">
      <c r="A27" s="9" t="str">
        <f>IF(D27&gt;0,COUNT(A23:A26)+1,"")</f>
        <v/>
      </c>
      <c r="B27" s="10" t="str">
        <f t="shared" si="0"/>
        <v>Graan (Tarwe)</v>
      </c>
      <c r="C27" s="222"/>
      <c r="D27" s="97">
        <f t="shared" si="0"/>
        <v>0</v>
      </c>
      <c r="E27" s="243"/>
      <c r="F27" s="10">
        <f t="shared" si="1"/>
        <v>1150</v>
      </c>
      <c r="G27" s="10">
        <f t="shared" si="2"/>
        <v>86</v>
      </c>
      <c r="H27" s="222"/>
      <c r="I27" s="100">
        <f t="shared" si="3"/>
        <v>0.19</v>
      </c>
    </row>
    <row r="28" spans="1:9" x14ac:dyDescent="0.3">
      <c r="A28" s="9" t="str">
        <f>IF(D28&gt;0,COUNT(A23:A27)+1,"")</f>
        <v/>
      </c>
      <c r="B28" s="10" t="str">
        <f t="shared" si="0"/>
        <v>CCM</v>
      </c>
      <c r="C28" s="222"/>
      <c r="D28" s="97">
        <f t="shared" si="0"/>
        <v>0</v>
      </c>
      <c r="E28" s="243"/>
      <c r="F28" s="10">
        <f t="shared" si="1"/>
        <v>1200</v>
      </c>
      <c r="G28" s="10">
        <f t="shared" si="2"/>
        <v>73</v>
      </c>
      <c r="H28" s="222"/>
      <c r="I28" s="100">
        <f t="shared" si="3"/>
        <v>0.18</v>
      </c>
    </row>
    <row r="29" spans="1:9" x14ac:dyDescent="0.3">
      <c r="A29" s="9" t="str">
        <f>IF(D29&gt;0,COUNT(A23:A28)+1,"")</f>
        <v/>
      </c>
      <c r="B29" s="10" t="str">
        <f t="shared" si="0"/>
        <v>Soja (44/7)</v>
      </c>
      <c r="C29" s="222"/>
      <c r="D29" s="97">
        <f t="shared" si="0"/>
        <v>0</v>
      </c>
      <c r="E29" s="243"/>
      <c r="F29" s="10">
        <f t="shared" si="1"/>
        <v>1136</v>
      </c>
      <c r="G29" s="10">
        <f t="shared" si="2"/>
        <v>250</v>
      </c>
      <c r="H29" s="222"/>
      <c r="I29" s="100">
        <f t="shared" si="3"/>
        <v>0.34</v>
      </c>
    </row>
    <row r="30" spans="1:9" x14ac:dyDescent="0.3">
      <c r="A30" s="9" t="str">
        <f>IF(D30&gt;0,COUNT(A23:A29)+1,"")</f>
        <v/>
      </c>
      <c r="B30" s="10" t="str">
        <f t="shared" si="0"/>
        <v>Anders</v>
      </c>
      <c r="C30" s="222"/>
      <c r="D30" s="97">
        <f t="shared" si="0"/>
        <v>0</v>
      </c>
      <c r="E30" s="243"/>
      <c r="F30" s="10">
        <f t="shared" si="1"/>
        <v>0</v>
      </c>
      <c r="G30" s="10">
        <f t="shared" si="2"/>
        <v>0</v>
      </c>
      <c r="H30" s="222"/>
      <c r="I30" s="100">
        <f t="shared" si="3"/>
        <v>0</v>
      </c>
    </row>
    <row r="31" spans="1:9" x14ac:dyDescent="0.3">
      <c r="A31" s="9" t="str">
        <f>IF(D31&gt;0,COUNT(A23:A30)+1,"")</f>
        <v/>
      </c>
      <c r="B31" s="10" t="str">
        <f t="shared" si="0"/>
        <v>Anders</v>
      </c>
      <c r="C31" s="222"/>
      <c r="D31" s="97">
        <f t="shared" si="0"/>
        <v>0</v>
      </c>
      <c r="E31" s="243"/>
      <c r="F31" s="10">
        <f t="shared" si="1"/>
        <v>0</v>
      </c>
      <c r="G31" s="10">
        <f t="shared" si="2"/>
        <v>0</v>
      </c>
      <c r="H31" s="222"/>
      <c r="I31" s="100">
        <f t="shared" si="3"/>
        <v>0</v>
      </c>
    </row>
    <row r="32" spans="1:9" x14ac:dyDescent="0.3">
      <c r="A32" s="9" t="str">
        <f>IF(D32&gt;0,COUNT(A23:A31)+1,"")</f>
        <v/>
      </c>
      <c r="B32" s="10" t="str">
        <f t="shared" si="0"/>
        <v>Anders</v>
      </c>
      <c r="C32" s="222"/>
      <c r="D32" s="97">
        <f t="shared" si="0"/>
        <v>0</v>
      </c>
      <c r="E32" s="243"/>
      <c r="F32" s="10">
        <f t="shared" si="1"/>
        <v>0</v>
      </c>
      <c r="G32" s="10">
        <f t="shared" si="2"/>
        <v>0</v>
      </c>
      <c r="H32" s="222"/>
      <c r="I32" s="100">
        <f t="shared" si="3"/>
        <v>0</v>
      </c>
    </row>
  </sheetData>
  <sheetProtection sheet="1" objects="1" scenarios="1" selectLockedCells="1"/>
  <mergeCells count="1">
    <mergeCell ref="B2:M3"/>
  </mergeCells>
  <dataValidations count="1">
    <dataValidation type="decimal" operator="greaterThanOrEqual" allowBlank="1" showInputMessage="1" showErrorMessage="1" errorTitle="Fout" error="Typ een getal groter of gelijk aan 0." sqref="D6:D15 G6:G15 J6:J15 M6:M15" xr:uid="{60C4E4C9-C825-4467-9833-E8D472255170}">
      <formula1>0</formula1>
    </dataValidation>
  </dataValidation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BD806-F193-4041-91E2-566AACB69597}">
  <sheetPr codeName="Blad12">
    <tabColor theme="8" tint="0.59999389629810485"/>
  </sheetPr>
  <dimension ref="B1:J40"/>
  <sheetViews>
    <sheetView showGridLines="0" zoomScale="80" zoomScaleNormal="80" workbookViewId="0">
      <selection activeCell="D14" sqref="D14"/>
    </sheetView>
  </sheetViews>
  <sheetFormatPr defaultColWidth="8.77734375" defaultRowHeight="14.4" x14ac:dyDescent="0.3"/>
  <cols>
    <col min="1" max="1" width="2.77734375" style="86" customWidth="1"/>
    <col min="2" max="2" width="30.5546875" style="86" customWidth="1"/>
    <col min="3" max="4" width="16.77734375" style="86" customWidth="1"/>
    <col min="5" max="5" width="2.77734375" style="86" customWidth="1"/>
    <col min="6" max="6" width="6" style="86" customWidth="1"/>
    <col min="7" max="7" width="22.6640625" style="97" customWidth="1"/>
    <col min="8" max="8" width="22.6640625" style="99" customWidth="1"/>
    <col min="9" max="16384" width="8.77734375" style="86"/>
  </cols>
  <sheetData>
    <row r="1" spans="2:9" ht="14.55" customHeight="1" x14ac:dyDescent="0.3"/>
    <row r="2" spans="2:9" ht="14.55" customHeight="1" x14ac:dyDescent="0.3">
      <c r="B2" s="456" t="s">
        <v>208</v>
      </c>
      <c r="C2" s="456"/>
      <c r="D2" s="456"/>
    </row>
    <row r="3" spans="2:9" ht="14.55" customHeight="1" x14ac:dyDescent="0.3">
      <c r="B3" s="456"/>
      <c r="C3" s="456"/>
      <c r="D3" s="456"/>
    </row>
    <row r="5" spans="2:9" x14ac:dyDescent="0.3">
      <c r="B5" s="289">
        <v>1</v>
      </c>
      <c r="F5" s="98"/>
      <c r="I5" s="97" t="b">
        <v>0</v>
      </c>
    </row>
    <row r="6" spans="2:9" x14ac:dyDescent="0.3">
      <c r="B6" s="244"/>
      <c r="F6" s="98"/>
    </row>
    <row r="7" spans="2:9" x14ac:dyDescent="0.3">
      <c r="H7" s="101"/>
    </row>
    <row r="8" spans="2:9" x14ac:dyDescent="0.3">
      <c r="B8" s="204"/>
      <c r="C8" s="218" t="s">
        <v>101</v>
      </c>
      <c r="D8" s="218" t="s">
        <v>102</v>
      </c>
    </row>
    <row r="9" spans="2:9" x14ac:dyDescent="0.3">
      <c r="B9" s="44" t="s">
        <v>103</v>
      </c>
      <c r="C9" s="44">
        <f>Gegevens!C14</f>
        <v>9500</v>
      </c>
      <c r="D9" s="287"/>
      <c r="E9" s="292"/>
      <c r="F9" s="292"/>
      <c r="G9" s="107"/>
      <c r="H9" s="108"/>
    </row>
    <row r="10" spans="2:9" x14ac:dyDescent="0.3">
      <c r="B10" s="44" t="s">
        <v>104</v>
      </c>
      <c r="C10" s="44">
        <f>Gegevens!C15</f>
        <v>905</v>
      </c>
      <c r="D10" s="287"/>
      <c r="E10" s="292"/>
      <c r="F10" s="292"/>
      <c r="G10" s="107"/>
      <c r="H10" s="108"/>
    </row>
    <row r="11" spans="2:9" x14ac:dyDescent="0.3">
      <c r="B11" s="44" t="s">
        <v>105</v>
      </c>
      <c r="C11" s="44">
        <f>Gegevens!C16</f>
        <v>72</v>
      </c>
      <c r="D11" s="287"/>
      <c r="E11" s="292"/>
      <c r="G11" s="108"/>
    </row>
    <row r="13" spans="2:9" x14ac:dyDescent="0.3">
      <c r="B13" s="204" t="s">
        <v>106</v>
      </c>
      <c r="C13" s="219" t="s">
        <v>107</v>
      </c>
      <c r="D13" s="219" t="s">
        <v>102</v>
      </c>
    </row>
    <row r="14" spans="2:9" x14ac:dyDescent="0.3">
      <c r="B14" s="44" t="s">
        <v>108</v>
      </c>
      <c r="C14" s="48">
        <f>Gegevens!C19</f>
        <v>0</v>
      </c>
      <c r="D14" s="290"/>
    </row>
    <row r="15" spans="2:9" x14ac:dyDescent="0.3">
      <c r="B15" s="44" t="s">
        <v>109</v>
      </c>
      <c r="C15" s="48">
        <f>Gegevens!C20</f>
        <v>0</v>
      </c>
      <c r="D15" s="290"/>
    </row>
    <row r="16" spans="2:9" x14ac:dyDescent="0.3">
      <c r="B16" s="44" t="s">
        <v>110</v>
      </c>
      <c r="C16" s="48">
        <f>Gegevens!C21</f>
        <v>98</v>
      </c>
      <c r="D16" s="285"/>
    </row>
    <row r="17" spans="2:10" x14ac:dyDescent="0.3">
      <c r="B17" s="44" t="s">
        <v>111</v>
      </c>
      <c r="C17" s="48">
        <f>Gegevens!C22</f>
        <v>169</v>
      </c>
      <c r="D17" s="285"/>
      <c r="G17" s="108"/>
    </row>
    <row r="18" spans="2:10" x14ac:dyDescent="0.3">
      <c r="B18" s="44" t="s">
        <v>112</v>
      </c>
      <c r="C18" s="44">
        <f>Gegevens!C23</f>
        <v>3</v>
      </c>
      <c r="D18" s="291"/>
    </row>
    <row r="19" spans="2:10" x14ac:dyDescent="0.3">
      <c r="B19" s="204" t="s">
        <v>113</v>
      </c>
      <c r="C19" s="195">
        <f>Gegevens!C24</f>
        <v>89</v>
      </c>
      <c r="D19" s="195">
        <f>IF(D18&gt;0,(IF(D14=0,C14,D14)+IF(D15=0,C15,D15)+IF(D16=0,C16,D16)+IF(D17=0,C17,D17))/IF(D18=0,C18,D18),IF(D18="",(IF(D14=0,C14,D14)+IF(D15=0,C15,D15)+IF(D16=0,C16,D16)+IF(D17=0,C17,D17))/IF(D18=0,C18,D18),0))</f>
        <v>89</v>
      </c>
    </row>
    <row r="21" spans="2:10" x14ac:dyDescent="0.3">
      <c r="B21" s="204" t="s">
        <v>114</v>
      </c>
      <c r="C21" s="204"/>
      <c r="D21" s="204"/>
    </row>
    <row r="22" spans="2:10" x14ac:dyDescent="0.3">
      <c r="B22" s="44" t="s">
        <v>115</v>
      </c>
      <c r="C22" s="48">
        <f>Gegevens!C27</f>
        <v>125</v>
      </c>
      <c r="D22" s="285"/>
    </row>
    <row r="23" spans="2:10" x14ac:dyDescent="0.3">
      <c r="B23" s="44" t="s">
        <v>116</v>
      </c>
      <c r="C23" s="48">
        <f>Gegevens!C28</f>
        <v>140</v>
      </c>
      <c r="D23" s="285"/>
      <c r="G23" s="108"/>
    </row>
    <row r="24" spans="2:10" x14ac:dyDescent="0.3">
      <c r="B24" s="44" t="s">
        <v>117</v>
      </c>
      <c r="C24" s="48">
        <f>Gegevens!C29</f>
        <v>57</v>
      </c>
      <c r="D24" s="285"/>
    </row>
    <row r="25" spans="2:10" x14ac:dyDescent="0.3">
      <c r="B25" s="204" t="s">
        <v>113</v>
      </c>
      <c r="C25" s="195">
        <f>Gegevens!C30</f>
        <v>322</v>
      </c>
      <c r="D25" s="195">
        <f>IF(D22=0,C22,D22)+IF(D23=0,C23,D23)+IF(D24=0,C24,D24)</f>
        <v>322</v>
      </c>
    </row>
    <row r="27" spans="2:10" x14ac:dyDescent="0.3">
      <c r="B27" s="204" t="s">
        <v>118</v>
      </c>
      <c r="C27" s="204"/>
      <c r="D27" s="204"/>
    </row>
    <row r="28" spans="2:10" x14ac:dyDescent="0.3">
      <c r="B28" s="44" t="s">
        <v>119</v>
      </c>
      <c r="C28" s="48">
        <f>Gegevens!C33</f>
        <v>103</v>
      </c>
      <c r="D28" s="285"/>
    </row>
    <row r="29" spans="2:10" x14ac:dyDescent="0.3">
      <c r="B29" s="44" t="s">
        <v>120</v>
      </c>
      <c r="C29" s="44">
        <f>Gegevens!C34</f>
        <v>2</v>
      </c>
      <c r="D29" s="291"/>
      <c r="J29" s="99"/>
    </row>
    <row r="30" spans="2:10" x14ac:dyDescent="0.3">
      <c r="B30" s="204" t="s">
        <v>113</v>
      </c>
      <c r="C30" s="195">
        <f>Gegevens!C35</f>
        <v>20.6</v>
      </c>
      <c r="D30" s="195">
        <f>(IF(D28=0,C28,D28)*IF(D29=0,C29,D29))/10</f>
        <v>20.6</v>
      </c>
    </row>
    <row r="32" spans="2:10" x14ac:dyDescent="0.3">
      <c r="B32" s="204" t="s">
        <v>121</v>
      </c>
      <c r="C32" s="204"/>
      <c r="D32" s="204"/>
    </row>
    <row r="33" spans="2:6" x14ac:dyDescent="0.3">
      <c r="B33" s="44" t="s">
        <v>122</v>
      </c>
      <c r="C33" s="44">
        <f>Gegevens!C38</f>
        <v>5</v>
      </c>
      <c r="D33" s="291"/>
    </row>
    <row r="34" spans="2:6" x14ac:dyDescent="0.3">
      <c r="B34" s="44" t="s">
        <v>123</v>
      </c>
      <c r="C34" s="48">
        <f>Gegevens!C39</f>
        <v>146</v>
      </c>
      <c r="D34" s="285"/>
      <c r="F34" s="86" t="s">
        <v>55</v>
      </c>
    </row>
    <row r="35" spans="2:6" x14ac:dyDescent="0.3">
      <c r="B35" s="44" t="s">
        <v>124</v>
      </c>
      <c r="C35" s="48">
        <f>Gegevens!C40</f>
        <v>31</v>
      </c>
      <c r="D35" s="285"/>
    </row>
    <row r="36" spans="2:6" x14ac:dyDescent="0.3">
      <c r="B36" s="204" t="s">
        <v>113</v>
      </c>
      <c r="C36" s="195">
        <f>Gegevens!C41</f>
        <v>761</v>
      </c>
      <c r="D36" s="195">
        <f>(IF(D33=0,C33,D33)*IF(D34=0,C34,D34))+IF(D35=0,C35,D35)</f>
        <v>761</v>
      </c>
    </row>
    <row r="38" spans="2:6" x14ac:dyDescent="0.3">
      <c r="B38" s="44" t="s">
        <v>7</v>
      </c>
      <c r="C38" s="48">
        <f>C36+C30+C25+C19</f>
        <v>1192.5999999999999</v>
      </c>
      <c r="D38" s="48">
        <f>D36+D30+D25+D19</f>
        <v>1192.5999999999999</v>
      </c>
    </row>
    <row r="39" spans="2:6" x14ac:dyDescent="0.3">
      <c r="B39" s="44" t="s">
        <v>125</v>
      </c>
      <c r="C39" s="47">
        <f>IF(C9=0,0,C38/C9)</f>
        <v>0.12553684210526314</v>
      </c>
      <c r="D39" s="47">
        <f>IF(D9=0,D38/C9,D38/D9)</f>
        <v>0.12553684210526314</v>
      </c>
    </row>
    <row r="40" spans="2:6" x14ac:dyDescent="0.3">
      <c r="B40" s="44" t="s">
        <v>126</v>
      </c>
      <c r="C40" s="47">
        <f>IF(C9=0,0,IF(C10=0,0,C38/(C9*C10/1000)))</f>
        <v>0.13871474265774933</v>
      </c>
      <c r="D40" s="47">
        <f>IF(D9=0,IF(D10=0,D38/(C9*C10),D38/C9*D10),IF(D10=0,D38/(D9*C10),D38/D9*D10))*1000</f>
        <v>0.13871474265774933</v>
      </c>
    </row>
  </sheetData>
  <sheetProtection sheet="1" objects="1" scenarios="1" selectLockedCells="1"/>
  <mergeCells count="1">
    <mergeCell ref="B2:D3"/>
  </mergeCells>
  <conditionalFormatting sqref="G30:G39 J29 H10 G11:G28">
    <cfRule type="expression" dxfId="96" priority="2">
      <formula>"als($I$2=WAAR;;)"</formula>
    </cfRule>
  </conditionalFormatting>
  <conditionalFormatting sqref="G30:G39 J29 H10 G11:G28">
    <cfRule type="expression" dxfId="95" priority="1">
      <formula>$I$5=TRUE</formula>
    </cfRule>
  </conditionalFormatting>
  <conditionalFormatting sqref="D8:D40">
    <cfRule type="expression" dxfId="94" priority="69">
      <formula>$B$5=1</formula>
    </cfRule>
  </conditionalFormatting>
  <conditionalFormatting sqref="D16:D40 D9:D11">
    <cfRule type="expression" dxfId="93" priority="70">
      <formula>$B$5=1</formula>
    </cfRule>
  </conditionalFormatting>
  <dataValidations count="1">
    <dataValidation type="decimal" operator="greaterThanOrEqual" allowBlank="1" showInputMessage="1" showErrorMessage="1" errorTitle="Fout" error="Typ een getal groter of gelijk aan 0." sqref="B5 D33:D35 D14:D18 D22:D24 D28:D29 D9:D10 D11" xr:uid="{2B323BA1-6955-4CE5-B00E-E99AEE6FDEBD}">
      <formula1>0</formula1>
    </dataValidation>
  </dataValidations>
  <pageMargins left="0.7" right="0.7" top="0.75" bottom="0.75" header="0.3" footer="0.3"/>
  <pageSetup paperSize="9" orientation="portrait" horizontalDpi="4294967293"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Option Button 1">
              <controlPr defaultSize="0" autoFill="0" autoLine="0" autoPict="0">
                <anchor moveWithCells="1">
                  <from>
                    <xdr:col>1</xdr:col>
                    <xdr:colOff>7620</xdr:colOff>
                    <xdr:row>4</xdr:row>
                    <xdr:rowOff>7620</xdr:rowOff>
                  </from>
                  <to>
                    <xdr:col>1</xdr:col>
                    <xdr:colOff>1920240</xdr:colOff>
                    <xdr:row>5</xdr:row>
                    <xdr:rowOff>0</xdr:rowOff>
                  </to>
                </anchor>
              </controlPr>
            </control>
          </mc:Choice>
        </mc:AlternateContent>
        <mc:AlternateContent xmlns:mc="http://schemas.openxmlformats.org/markup-compatibility/2006">
          <mc:Choice Requires="x14">
            <control shapeId="8195" r:id="rId5" name="Option Button 3">
              <controlPr defaultSize="0" autoFill="0" autoLine="0" autoPict="0">
                <anchor moveWithCells="1">
                  <from>
                    <xdr:col>1</xdr:col>
                    <xdr:colOff>7620</xdr:colOff>
                    <xdr:row>5</xdr:row>
                    <xdr:rowOff>0</xdr:rowOff>
                  </from>
                  <to>
                    <xdr:col>1</xdr:col>
                    <xdr:colOff>1912620</xdr:colOff>
                    <xdr:row>6</xdr:row>
                    <xdr:rowOff>7620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C82988-7551-446E-BD25-089B5CA8892E}">
  <sheetPr codeName="Blad6">
    <tabColor theme="8" tint="0.59999389629810485"/>
  </sheetPr>
  <dimension ref="B2:H40"/>
  <sheetViews>
    <sheetView showGridLines="0" zoomScale="80" zoomScaleNormal="80" workbookViewId="0">
      <selection activeCell="D28" sqref="D28"/>
    </sheetView>
  </sheetViews>
  <sheetFormatPr defaultColWidth="8.77734375" defaultRowHeight="14.4" x14ac:dyDescent="0.3"/>
  <cols>
    <col min="1" max="1" width="2.77734375" customWidth="1"/>
    <col min="2" max="2" width="30.5546875" customWidth="1"/>
    <col min="3" max="4" width="16.77734375" customWidth="1"/>
    <col min="5" max="5" width="2.77734375" customWidth="1"/>
    <col min="6" max="6" width="7.77734375" customWidth="1"/>
    <col min="7" max="7" width="21.21875" customWidth="1"/>
    <col min="8" max="8" width="8.77734375" style="1"/>
  </cols>
  <sheetData>
    <row r="2" spans="2:8" x14ac:dyDescent="0.3">
      <c r="B2" s="456" t="s">
        <v>209</v>
      </c>
      <c r="C2" s="456"/>
      <c r="D2" s="456"/>
    </row>
    <row r="3" spans="2:8" x14ac:dyDescent="0.3">
      <c r="B3" s="456"/>
      <c r="C3" s="456"/>
      <c r="D3" s="456"/>
    </row>
    <row r="5" spans="2:8" x14ac:dyDescent="0.3">
      <c r="B5" s="277">
        <v>1</v>
      </c>
    </row>
    <row r="6" spans="2:8" x14ac:dyDescent="0.3">
      <c r="B6" s="240"/>
    </row>
    <row r="8" spans="2:8" ht="15.6" customHeight="1" x14ac:dyDescent="0.3">
      <c r="B8" s="193"/>
      <c r="C8" s="220" t="s">
        <v>101</v>
      </c>
      <c r="D8" s="218" t="s">
        <v>102</v>
      </c>
    </row>
    <row r="9" spans="2:8" x14ac:dyDescent="0.3">
      <c r="B9" s="11" t="s">
        <v>103</v>
      </c>
      <c r="C9" s="44">
        <f>Gegevens!D14</f>
        <v>10000</v>
      </c>
      <c r="D9" s="287"/>
      <c r="G9" s="107"/>
      <c r="H9" s="108"/>
    </row>
    <row r="10" spans="2:8" x14ac:dyDescent="0.3">
      <c r="B10" s="11" t="s">
        <v>104</v>
      </c>
      <c r="C10" s="44">
        <f>Gegevens!D15</f>
        <v>905</v>
      </c>
      <c r="D10" s="287"/>
      <c r="G10" s="107"/>
      <c r="H10" s="108"/>
    </row>
    <row r="11" spans="2:8" x14ac:dyDescent="0.3">
      <c r="B11" s="11" t="s">
        <v>105</v>
      </c>
      <c r="C11" s="44">
        <f>Gegevens!D16</f>
        <v>72</v>
      </c>
      <c r="D11" s="287"/>
      <c r="G11" s="108"/>
    </row>
    <row r="12" spans="2:8" x14ac:dyDescent="0.3">
      <c r="D12" s="86"/>
    </row>
    <row r="13" spans="2:8" x14ac:dyDescent="0.3">
      <c r="B13" s="193" t="s">
        <v>127</v>
      </c>
      <c r="C13" s="203" t="s">
        <v>107</v>
      </c>
      <c r="D13" s="219" t="s">
        <v>102</v>
      </c>
    </row>
    <row r="14" spans="2:8" x14ac:dyDescent="0.3">
      <c r="B14" s="44" t="s">
        <v>108</v>
      </c>
      <c r="C14" s="48">
        <f>Gegevens!D19</f>
        <v>80</v>
      </c>
      <c r="D14" s="290"/>
    </row>
    <row r="15" spans="2:8" x14ac:dyDescent="0.3">
      <c r="B15" s="44" t="s">
        <v>109</v>
      </c>
      <c r="C15" s="48">
        <f>Gegevens!D20</f>
        <v>236</v>
      </c>
      <c r="D15" s="290"/>
    </row>
    <row r="16" spans="2:8" x14ac:dyDescent="0.3">
      <c r="B16" s="44" t="s">
        <v>110</v>
      </c>
      <c r="C16" s="48">
        <f>Gegevens!D21</f>
        <v>102</v>
      </c>
      <c r="D16" s="285"/>
    </row>
    <row r="17" spans="2:4" x14ac:dyDescent="0.3">
      <c r="B17" s="44" t="s">
        <v>111</v>
      </c>
      <c r="C17" s="48">
        <f>Gegevens!D22</f>
        <v>198</v>
      </c>
      <c r="D17" s="285"/>
    </row>
    <row r="18" spans="2:4" x14ac:dyDescent="0.3">
      <c r="B18" s="44" t="s">
        <v>112</v>
      </c>
      <c r="C18" s="44">
        <f>Gegevens!D23</f>
        <v>4</v>
      </c>
      <c r="D18" s="291"/>
    </row>
    <row r="19" spans="2:4" x14ac:dyDescent="0.3">
      <c r="B19" s="204" t="s">
        <v>113</v>
      </c>
      <c r="C19" s="195">
        <f>Gegevens!D24</f>
        <v>154</v>
      </c>
      <c r="D19" s="195">
        <f>(IF(D14=0,C14,D14)+IF(D15=0,C15,D15)+IF(D16=0,C16,D16)+IF(D17=0,C17,D17))/IF(D18=0,C18,D18)</f>
        <v>154</v>
      </c>
    </row>
    <row r="20" spans="2:4" x14ac:dyDescent="0.3">
      <c r="D20" s="86"/>
    </row>
    <row r="21" spans="2:4" x14ac:dyDescent="0.3">
      <c r="B21" s="193" t="s">
        <v>114</v>
      </c>
      <c r="C21" s="208"/>
      <c r="D21" s="204"/>
    </row>
    <row r="22" spans="2:4" x14ac:dyDescent="0.3">
      <c r="B22" s="54" t="s">
        <v>115</v>
      </c>
      <c r="C22" s="48">
        <f>Gegevens!D27</f>
        <v>125</v>
      </c>
      <c r="D22" s="285"/>
    </row>
    <row r="23" spans="2:4" x14ac:dyDescent="0.3">
      <c r="B23" s="54" t="s">
        <v>116</v>
      </c>
      <c r="C23" s="48">
        <f>Gegevens!D28</f>
        <v>140</v>
      </c>
      <c r="D23" s="285"/>
    </row>
    <row r="24" spans="2:4" x14ac:dyDescent="0.3">
      <c r="B24" s="54" t="s">
        <v>117</v>
      </c>
      <c r="C24" s="48">
        <f>Gegevens!D29</f>
        <v>57</v>
      </c>
      <c r="D24" s="285"/>
    </row>
    <row r="25" spans="2:4" x14ac:dyDescent="0.3">
      <c r="B25" s="217" t="s">
        <v>113</v>
      </c>
      <c r="C25" s="195">
        <f>Gegevens!D30</f>
        <v>322</v>
      </c>
      <c r="D25" s="195">
        <f>IF(D22=0,C22,D22)+IF(D23=0,C23,D23)+IF(D24=0,C24,D24)</f>
        <v>322</v>
      </c>
    </row>
    <row r="26" spans="2:4" x14ac:dyDescent="0.3">
      <c r="D26" s="86"/>
    </row>
    <row r="27" spans="2:4" x14ac:dyDescent="0.3">
      <c r="B27" s="193" t="s">
        <v>118</v>
      </c>
      <c r="C27" s="193"/>
      <c r="D27" s="204"/>
    </row>
    <row r="28" spans="2:4" x14ac:dyDescent="0.3">
      <c r="B28" s="11" t="s">
        <v>119</v>
      </c>
      <c r="C28" s="48">
        <f>Gegevens!D33</f>
        <v>103</v>
      </c>
      <c r="D28" s="285"/>
    </row>
    <row r="29" spans="2:4" x14ac:dyDescent="0.3">
      <c r="B29" s="11" t="s">
        <v>120</v>
      </c>
      <c r="C29" s="44">
        <f>Gegevens!D34</f>
        <v>2</v>
      </c>
      <c r="D29" s="291"/>
    </row>
    <row r="30" spans="2:4" x14ac:dyDescent="0.3">
      <c r="B30" s="193" t="s">
        <v>113</v>
      </c>
      <c r="C30" s="195">
        <f>Gegevens!D35</f>
        <v>20.6</v>
      </c>
      <c r="D30" s="195">
        <f>(IF(D28=0,C28,D28)*IF(D29=0,C29,D29))/10</f>
        <v>20.6</v>
      </c>
    </row>
    <row r="31" spans="2:4" x14ac:dyDescent="0.3">
      <c r="D31" s="86"/>
    </row>
    <row r="32" spans="2:4" x14ac:dyDescent="0.3">
      <c r="B32" s="193" t="s">
        <v>121</v>
      </c>
      <c r="C32" s="193"/>
      <c r="D32" s="204"/>
    </row>
    <row r="33" spans="2:6" x14ac:dyDescent="0.3">
      <c r="B33" s="11" t="s">
        <v>122</v>
      </c>
      <c r="C33" s="48">
        <f>Gegevens!D38</f>
        <v>5</v>
      </c>
      <c r="D33" s="291"/>
    </row>
    <row r="34" spans="2:6" x14ac:dyDescent="0.3">
      <c r="B34" s="11" t="s">
        <v>123</v>
      </c>
      <c r="C34" s="48">
        <f>Gegevens!D39</f>
        <v>146</v>
      </c>
      <c r="D34" s="285"/>
      <c r="F34" t="s">
        <v>55</v>
      </c>
    </row>
    <row r="35" spans="2:6" x14ac:dyDescent="0.3">
      <c r="B35" s="11" t="s">
        <v>124</v>
      </c>
      <c r="C35" s="48">
        <f>Gegevens!D40</f>
        <v>31</v>
      </c>
      <c r="D35" s="285"/>
    </row>
    <row r="36" spans="2:6" x14ac:dyDescent="0.3">
      <c r="B36" s="193" t="s">
        <v>113</v>
      </c>
      <c r="C36" s="195">
        <f>Gegevens!D41</f>
        <v>761</v>
      </c>
      <c r="D36" s="195">
        <f>(IF(D33=0,C33,D33)*IF(D34=0,C34,D34))+IF(D35=0,C35,D35)</f>
        <v>761</v>
      </c>
    </row>
    <row r="37" spans="2:6" x14ac:dyDescent="0.3">
      <c r="D37" s="86"/>
    </row>
    <row r="38" spans="2:6" x14ac:dyDescent="0.3">
      <c r="B38" s="11" t="s">
        <v>7</v>
      </c>
      <c r="C38" s="48">
        <f>C36+C30+C25+C19</f>
        <v>1257.5999999999999</v>
      </c>
      <c r="D38" s="88">
        <f>D36+D30+D25+D19</f>
        <v>1257.5999999999999</v>
      </c>
    </row>
    <row r="39" spans="2:6" x14ac:dyDescent="0.3">
      <c r="B39" s="11" t="s">
        <v>125</v>
      </c>
      <c r="C39" s="47">
        <f>IF(C9=0,0,C38/C9)</f>
        <v>0.12575999999999998</v>
      </c>
      <c r="D39" s="87">
        <f>IF(D9=0,D38/C9,D38/D9)</f>
        <v>0.12575999999999998</v>
      </c>
    </row>
    <row r="40" spans="2:6" x14ac:dyDescent="0.3">
      <c r="B40" s="11" t="s">
        <v>126</v>
      </c>
      <c r="C40" s="47">
        <f>IF(C9=0,0,IF(C10=0,0,C38/(C9*C10/1000)))</f>
        <v>0.13896132596685082</v>
      </c>
      <c r="D40" s="87">
        <f>IF(D9=0,IF(D10=0,D38/(C9*C10),D38/C9*D10),IF(D10=0,D38/(D9*C10),D38/D9*D10))*1000</f>
        <v>0.13896132596685082</v>
      </c>
    </row>
  </sheetData>
  <sheetProtection sheet="1" objects="1" scenarios="1" selectLockedCells="1"/>
  <mergeCells count="1">
    <mergeCell ref="B2:D3"/>
  </mergeCells>
  <conditionalFormatting sqref="H10">
    <cfRule type="expression" dxfId="92" priority="4">
      <formula>"als($I$2=WAAR;;)"</formula>
    </cfRule>
  </conditionalFormatting>
  <conditionalFormatting sqref="H10">
    <cfRule type="expression" dxfId="91" priority="3">
      <formula>$I$5=TRUE</formula>
    </cfRule>
  </conditionalFormatting>
  <conditionalFormatting sqref="G11">
    <cfRule type="expression" dxfId="90" priority="2">
      <formula>"als($I$2=WAAR;;)"</formula>
    </cfRule>
  </conditionalFormatting>
  <conditionalFormatting sqref="G11">
    <cfRule type="expression" dxfId="89" priority="1">
      <formula>$I$5=TRUE</formula>
    </cfRule>
  </conditionalFormatting>
  <conditionalFormatting sqref="D8:D40">
    <cfRule type="expression" dxfId="88" priority="71">
      <formula>$B$5=1</formula>
    </cfRule>
  </conditionalFormatting>
  <conditionalFormatting sqref="D16:D40 D9:D11">
    <cfRule type="expression" dxfId="87" priority="72">
      <formula>$B$5=1</formula>
    </cfRule>
  </conditionalFormatting>
  <dataValidations count="1">
    <dataValidation type="decimal" operator="greaterThanOrEqual" allowBlank="1" showInputMessage="1" showErrorMessage="1" errorTitle="Fout" error="Typ een getal groter of gelijk aan 0." sqref="B5 D9:D11 D14:D18 D22:D24 D28:D29 D33:D35" xr:uid="{EF32E9C9-AC57-4676-8E4A-536D4D46B839}">
      <formula1>0</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Option Button 1">
              <controlPr defaultSize="0" autoFill="0" autoLine="0" autoPict="0">
                <anchor moveWithCells="1">
                  <from>
                    <xdr:col>1</xdr:col>
                    <xdr:colOff>0</xdr:colOff>
                    <xdr:row>4</xdr:row>
                    <xdr:rowOff>0</xdr:rowOff>
                  </from>
                  <to>
                    <xdr:col>2</xdr:col>
                    <xdr:colOff>0</xdr:colOff>
                    <xdr:row>5</xdr:row>
                    <xdr:rowOff>0</xdr:rowOff>
                  </to>
                </anchor>
              </controlPr>
            </control>
          </mc:Choice>
        </mc:AlternateContent>
        <mc:AlternateContent xmlns:mc="http://schemas.openxmlformats.org/markup-compatibility/2006">
          <mc:Choice Requires="x14">
            <control shapeId="15362" r:id="rId5" name="Option Button 2">
              <controlPr defaultSize="0" autoFill="0" autoLine="0" autoPict="0">
                <anchor moveWithCells="1">
                  <from>
                    <xdr:col>1</xdr:col>
                    <xdr:colOff>0</xdr:colOff>
                    <xdr:row>5</xdr:row>
                    <xdr:rowOff>0</xdr:rowOff>
                  </from>
                  <to>
                    <xdr:col>2</xdr:col>
                    <xdr:colOff>0</xdr:colOff>
                    <xdr:row>6</xdr:row>
                    <xdr:rowOff>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0E14A-E049-492C-86F9-F34593886D0A}">
  <sheetPr codeName="Blad7">
    <tabColor theme="8" tint="0.59999389629810485"/>
  </sheetPr>
  <dimension ref="B2:H40"/>
  <sheetViews>
    <sheetView showGridLines="0" zoomScale="80" zoomScaleNormal="80" workbookViewId="0">
      <selection activeCell="D35" sqref="D35"/>
    </sheetView>
  </sheetViews>
  <sheetFormatPr defaultColWidth="8.77734375" defaultRowHeight="14.4" x14ac:dyDescent="0.3"/>
  <cols>
    <col min="1" max="1" width="2.6640625" style="86" customWidth="1"/>
    <col min="2" max="2" width="30.5546875" style="86" customWidth="1"/>
    <col min="3" max="4" width="16.77734375" style="86" customWidth="1"/>
    <col min="5" max="5" width="2.77734375" style="86" customWidth="1"/>
    <col min="6" max="16384" width="8.77734375" style="86"/>
  </cols>
  <sheetData>
    <row r="2" spans="2:8" x14ac:dyDescent="0.3">
      <c r="B2" s="456" t="s">
        <v>210</v>
      </c>
      <c r="C2" s="456"/>
      <c r="D2" s="456"/>
    </row>
    <row r="3" spans="2:8" x14ac:dyDescent="0.3">
      <c r="B3" s="456"/>
      <c r="C3" s="456"/>
      <c r="D3" s="456"/>
    </row>
    <row r="5" spans="2:8" x14ac:dyDescent="0.3">
      <c r="B5" s="289">
        <v>1</v>
      </c>
    </row>
    <row r="6" spans="2:8" x14ac:dyDescent="0.3">
      <c r="B6" s="244"/>
    </row>
    <row r="8" spans="2:8" x14ac:dyDescent="0.3">
      <c r="B8" s="204"/>
      <c r="C8" s="218" t="s">
        <v>101</v>
      </c>
      <c r="D8" s="218" t="s">
        <v>102</v>
      </c>
    </row>
    <row r="9" spans="2:8" x14ac:dyDescent="0.3">
      <c r="B9" s="44" t="s">
        <v>103</v>
      </c>
      <c r="C9" s="44">
        <f>Gegevens!E14</f>
        <v>10000</v>
      </c>
      <c r="D9" s="287"/>
      <c r="E9"/>
      <c r="F9"/>
      <c r="H9"/>
    </row>
    <row r="10" spans="2:8" x14ac:dyDescent="0.3">
      <c r="B10" s="44" t="s">
        <v>104</v>
      </c>
      <c r="C10" s="44">
        <f>Gegevens!E15</f>
        <v>905</v>
      </c>
      <c r="D10" s="287"/>
      <c r="E10"/>
      <c r="F10"/>
      <c r="H10"/>
    </row>
    <row r="11" spans="2:8" x14ac:dyDescent="0.3">
      <c r="B11" s="44" t="s">
        <v>105</v>
      </c>
      <c r="C11" s="44">
        <f>Gegevens!E16</f>
        <v>72</v>
      </c>
      <c r="D11" s="287"/>
      <c r="E11"/>
      <c r="F11"/>
      <c r="H11"/>
    </row>
    <row r="12" spans="2:8" x14ac:dyDescent="0.3">
      <c r="E12"/>
      <c r="F12"/>
      <c r="H12"/>
    </row>
    <row r="13" spans="2:8" x14ac:dyDescent="0.3">
      <c r="B13" s="204" t="s">
        <v>127</v>
      </c>
      <c r="C13" s="219" t="s">
        <v>107</v>
      </c>
      <c r="D13" s="219" t="s">
        <v>102</v>
      </c>
      <c r="H13"/>
    </row>
    <row r="14" spans="2:8" x14ac:dyDescent="0.3">
      <c r="B14" s="44" t="s">
        <v>108</v>
      </c>
      <c r="C14" s="48">
        <f>Gegevens!E19</f>
        <v>80</v>
      </c>
      <c r="D14" s="290"/>
      <c r="H14"/>
    </row>
    <row r="15" spans="2:8" x14ac:dyDescent="0.3">
      <c r="B15" s="44" t="s">
        <v>109</v>
      </c>
      <c r="C15" s="48">
        <f>Gegevens!E20</f>
        <v>236</v>
      </c>
      <c r="D15" s="290"/>
      <c r="H15"/>
    </row>
    <row r="16" spans="2:8" x14ac:dyDescent="0.3">
      <c r="B16" s="44" t="s">
        <v>110</v>
      </c>
      <c r="C16" s="48">
        <f>Gegevens!E21</f>
        <v>102</v>
      </c>
      <c r="D16" s="285"/>
      <c r="H16"/>
    </row>
    <row r="17" spans="2:8" x14ac:dyDescent="0.3">
      <c r="B17" s="44" t="s">
        <v>111</v>
      </c>
      <c r="C17" s="48">
        <f>Gegevens!E22</f>
        <v>210</v>
      </c>
      <c r="D17" s="285"/>
      <c r="H17"/>
    </row>
    <row r="18" spans="2:8" x14ac:dyDescent="0.3">
      <c r="B18" s="44" t="s">
        <v>112</v>
      </c>
      <c r="C18" s="44">
        <f>Gegevens!E23</f>
        <v>4</v>
      </c>
      <c r="D18" s="284"/>
      <c r="H18"/>
    </row>
    <row r="19" spans="2:8" x14ac:dyDescent="0.3">
      <c r="B19" s="204" t="s">
        <v>113</v>
      </c>
      <c r="C19" s="195">
        <f>Gegevens!E24</f>
        <v>157</v>
      </c>
      <c r="D19" s="195">
        <f>(IF(D14=0,C14,D14)+IF(D15=0,C15,D15)+IF(D16=0,C16,D16)+IF(D17=0,C17,D17))/IF(D18=0,C18,D18)</f>
        <v>157</v>
      </c>
      <c r="H19"/>
    </row>
    <row r="20" spans="2:8" x14ac:dyDescent="0.3">
      <c r="H20"/>
    </row>
    <row r="21" spans="2:8" x14ac:dyDescent="0.3">
      <c r="B21" s="204" t="s">
        <v>114</v>
      </c>
      <c r="C21" s="204"/>
      <c r="D21" s="204"/>
      <c r="H21"/>
    </row>
    <row r="22" spans="2:8" x14ac:dyDescent="0.3">
      <c r="B22" s="44" t="s">
        <v>115</v>
      </c>
      <c r="C22" s="48">
        <f>Gegevens!E27</f>
        <v>125</v>
      </c>
      <c r="D22" s="285"/>
      <c r="H22"/>
    </row>
    <row r="23" spans="2:8" x14ac:dyDescent="0.3">
      <c r="B23" s="44" t="s">
        <v>116</v>
      </c>
      <c r="C23" s="48">
        <f>Gegevens!E28</f>
        <v>140</v>
      </c>
      <c r="D23" s="285"/>
      <c r="H23"/>
    </row>
    <row r="24" spans="2:8" x14ac:dyDescent="0.3">
      <c r="B24" s="44" t="s">
        <v>117</v>
      </c>
      <c r="C24" s="48">
        <f>Gegevens!E29</f>
        <v>57</v>
      </c>
      <c r="D24" s="285"/>
      <c r="H24"/>
    </row>
    <row r="25" spans="2:8" x14ac:dyDescent="0.3">
      <c r="B25" s="204" t="s">
        <v>113</v>
      </c>
      <c r="C25" s="195">
        <f>Gegevens!E30</f>
        <v>322</v>
      </c>
      <c r="D25" s="195">
        <f>IF(D22=0,C22,D22)+IF(D23=0,C23,D23)+IF(D24=0,C24,D24)</f>
        <v>322</v>
      </c>
      <c r="H25"/>
    </row>
    <row r="26" spans="2:8" x14ac:dyDescent="0.3">
      <c r="H26"/>
    </row>
    <row r="27" spans="2:8" x14ac:dyDescent="0.3">
      <c r="B27" s="204" t="s">
        <v>118</v>
      </c>
      <c r="C27" s="204"/>
      <c r="D27" s="204"/>
      <c r="H27"/>
    </row>
    <row r="28" spans="2:8" x14ac:dyDescent="0.3">
      <c r="B28" s="44" t="s">
        <v>128</v>
      </c>
      <c r="C28" s="48">
        <f>Gegevens!E33</f>
        <v>0</v>
      </c>
      <c r="D28" s="285"/>
      <c r="H28"/>
    </row>
    <row r="29" spans="2:8" x14ac:dyDescent="0.3">
      <c r="B29" s="44" t="s">
        <v>120</v>
      </c>
      <c r="C29" s="44">
        <f>Gegevens!E34</f>
        <v>0</v>
      </c>
      <c r="D29" s="291"/>
      <c r="H29"/>
    </row>
    <row r="30" spans="2:8" x14ac:dyDescent="0.3">
      <c r="B30" s="204" t="s">
        <v>113</v>
      </c>
      <c r="C30" s="195">
        <f>Gegevens!E35</f>
        <v>0</v>
      </c>
      <c r="D30" s="204">
        <f>(IF(D28=0,C28,D28)*IF(D29=0,C29,D29))/10</f>
        <v>0</v>
      </c>
      <c r="H30"/>
    </row>
    <row r="31" spans="2:8" x14ac:dyDescent="0.3">
      <c r="H31"/>
    </row>
    <row r="32" spans="2:8" x14ac:dyDescent="0.3">
      <c r="B32" s="204" t="s">
        <v>121</v>
      </c>
      <c r="C32" s="204"/>
      <c r="D32" s="204"/>
      <c r="H32"/>
    </row>
    <row r="33" spans="2:8" x14ac:dyDescent="0.3">
      <c r="B33" s="44" t="s">
        <v>122</v>
      </c>
      <c r="C33" s="44">
        <f>Gegevens!E38</f>
        <v>5</v>
      </c>
      <c r="D33" s="284"/>
      <c r="H33"/>
    </row>
    <row r="34" spans="2:8" x14ac:dyDescent="0.3">
      <c r="B34" s="44" t="s">
        <v>123</v>
      </c>
      <c r="C34" s="48">
        <f>Gegevens!E39</f>
        <v>146</v>
      </c>
      <c r="D34" s="285"/>
      <c r="F34" s="86" t="s">
        <v>55</v>
      </c>
      <c r="H34"/>
    </row>
    <row r="35" spans="2:8" x14ac:dyDescent="0.3">
      <c r="B35" s="44" t="s">
        <v>124</v>
      </c>
      <c r="C35" s="48">
        <f>Gegevens!E40</f>
        <v>31</v>
      </c>
      <c r="D35" s="285"/>
      <c r="H35"/>
    </row>
    <row r="36" spans="2:8" x14ac:dyDescent="0.3">
      <c r="B36" s="204" t="s">
        <v>113</v>
      </c>
      <c r="C36" s="195">
        <f>Gegevens!E41</f>
        <v>761</v>
      </c>
      <c r="D36" s="195">
        <f>(IF(D33=0,C33,D33)*IF(D34=0,C34,D34))+IF(D35=0,C35,D35)</f>
        <v>761</v>
      </c>
      <c r="H36"/>
    </row>
    <row r="37" spans="2:8" x14ac:dyDescent="0.3">
      <c r="H37"/>
    </row>
    <row r="38" spans="2:8" x14ac:dyDescent="0.3">
      <c r="B38" s="44" t="s">
        <v>7</v>
      </c>
      <c r="C38" s="48">
        <f>C36+C30+C25+C19</f>
        <v>1240</v>
      </c>
      <c r="D38" s="48">
        <f>D36+D30+D25+D19</f>
        <v>1240</v>
      </c>
      <c r="H38"/>
    </row>
    <row r="39" spans="2:8" x14ac:dyDescent="0.3">
      <c r="B39" s="44" t="s">
        <v>125</v>
      </c>
      <c r="C39" s="47">
        <f>IF(C9=0,0,C38/C9)</f>
        <v>0.124</v>
      </c>
      <c r="D39" s="47">
        <f>IF(D9=0,D38/C9,D38/D9)</f>
        <v>0.124</v>
      </c>
    </row>
    <row r="40" spans="2:8" x14ac:dyDescent="0.3">
      <c r="B40" s="44" t="s">
        <v>126</v>
      </c>
      <c r="C40" s="47">
        <f>IF(C9=0,0,IF(C10=0,0,C38/(C9*C10/1000)))</f>
        <v>0.13701657458563535</v>
      </c>
      <c r="D40" s="47">
        <f>IF(D9=0,IF(D10=0,D38/(C9*C10),D38/C9*D10),IF(D10=0,D38/(D9*C10),D38/D9*D10))*1000</f>
        <v>0.13701657458563538</v>
      </c>
    </row>
  </sheetData>
  <sheetProtection sheet="1" objects="1" scenarios="1" selectLockedCells="1"/>
  <mergeCells count="1">
    <mergeCell ref="B2:D3"/>
  </mergeCells>
  <conditionalFormatting sqref="D8:D40">
    <cfRule type="expression" dxfId="86" priority="73">
      <formula>$B$5=1</formula>
    </cfRule>
  </conditionalFormatting>
  <conditionalFormatting sqref="D16:D40 D9:D11">
    <cfRule type="expression" dxfId="85" priority="74">
      <formula>$B$5=1</formula>
    </cfRule>
  </conditionalFormatting>
  <dataValidations count="1">
    <dataValidation type="decimal" operator="greaterThanOrEqual" allowBlank="1" showInputMessage="1" showErrorMessage="1" errorTitle="Fout" error="Typ een getal groter of gelijk aan 0." sqref="B5 D9:D11 D14:D18 D22 D23 D24 D28 D29 D33 D34 D35" xr:uid="{0222EA36-3EA0-4703-A216-32C2FC4A6013}">
      <formula1>0</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Option Button 1">
              <controlPr defaultSize="0" autoFill="0" autoLine="0" autoPict="0">
                <anchor moveWithCells="1">
                  <from>
                    <xdr:col>1</xdr:col>
                    <xdr:colOff>7620</xdr:colOff>
                    <xdr:row>4</xdr:row>
                    <xdr:rowOff>0</xdr:rowOff>
                  </from>
                  <to>
                    <xdr:col>2</xdr:col>
                    <xdr:colOff>0</xdr:colOff>
                    <xdr:row>5</xdr:row>
                    <xdr:rowOff>0</xdr:rowOff>
                  </to>
                </anchor>
              </controlPr>
            </control>
          </mc:Choice>
        </mc:AlternateContent>
        <mc:AlternateContent xmlns:mc="http://schemas.openxmlformats.org/markup-compatibility/2006">
          <mc:Choice Requires="x14">
            <control shapeId="16386" r:id="rId5" name="Option Button 2">
              <controlPr defaultSize="0" autoFill="0" autoLine="0" autoPict="0">
                <anchor moveWithCells="1">
                  <from>
                    <xdr:col>1</xdr:col>
                    <xdr:colOff>7620</xdr:colOff>
                    <xdr:row>5</xdr:row>
                    <xdr:rowOff>0</xdr:rowOff>
                  </from>
                  <to>
                    <xdr:col>1</xdr:col>
                    <xdr:colOff>2042160</xdr:colOff>
                    <xdr:row>6</xdr:row>
                    <xdr:rowOff>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E08E85-B1C3-40DA-A281-71528CB1F2D5}">
  <sheetPr codeName="Blad8">
    <tabColor theme="8" tint="0.59999389629810485"/>
  </sheetPr>
  <dimension ref="B2:F40"/>
  <sheetViews>
    <sheetView showGridLines="0" zoomScale="80" zoomScaleNormal="80" workbookViewId="0">
      <selection activeCell="D17" sqref="D17"/>
    </sheetView>
  </sheetViews>
  <sheetFormatPr defaultRowHeight="14.4" x14ac:dyDescent="0.3"/>
  <cols>
    <col min="1" max="1" width="2.6640625" customWidth="1"/>
    <col min="2" max="2" width="30.5546875" customWidth="1"/>
    <col min="3" max="4" width="16.77734375" customWidth="1"/>
    <col min="5" max="5" width="2.77734375" customWidth="1"/>
  </cols>
  <sheetData>
    <row r="2" spans="2:5" x14ac:dyDescent="0.3">
      <c r="B2" s="456" t="s">
        <v>211</v>
      </c>
      <c r="C2" s="456"/>
      <c r="D2" s="456"/>
    </row>
    <row r="3" spans="2:5" x14ac:dyDescent="0.3">
      <c r="B3" s="456"/>
      <c r="C3" s="456"/>
      <c r="D3" s="456"/>
    </row>
    <row r="5" spans="2:5" x14ac:dyDescent="0.3">
      <c r="B5" s="277">
        <v>1</v>
      </c>
    </row>
    <row r="6" spans="2:5" x14ac:dyDescent="0.3">
      <c r="B6" s="240"/>
    </row>
    <row r="8" spans="2:5" x14ac:dyDescent="0.3">
      <c r="B8" s="193"/>
      <c r="C8" s="220" t="s">
        <v>101</v>
      </c>
      <c r="D8" s="218" t="s">
        <v>102</v>
      </c>
    </row>
    <row r="9" spans="2:5" x14ac:dyDescent="0.3">
      <c r="B9" s="11" t="s">
        <v>103</v>
      </c>
      <c r="C9" s="44">
        <f>Gegevens!F14</f>
        <v>10000</v>
      </c>
      <c r="D9" s="287"/>
    </row>
    <row r="10" spans="2:5" x14ac:dyDescent="0.3">
      <c r="B10" s="11" t="s">
        <v>104</v>
      </c>
      <c r="C10" s="44">
        <f>Gegevens!F15</f>
        <v>905</v>
      </c>
      <c r="D10" s="287"/>
    </row>
    <row r="11" spans="2:5" x14ac:dyDescent="0.3">
      <c r="B11" s="11" t="s">
        <v>105</v>
      </c>
      <c r="C11" s="44">
        <f>Gegevens!F16</f>
        <v>60</v>
      </c>
      <c r="D11" s="287"/>
    </row>
    <row r="12" spans="2:5" x14ac:dyDescent="0.3">
      <c r="D12" s="86"/>
    </row>
    <row r="13" spans="2:5" x14ac:dyDescent="0.3">
      <c r="B13" s="193" t="s">
        <v>127</v>
      </c>
      <c r="C13" s="211" t="s">
        <v>107</v>
      </c>
      <c r="D13" s="219" t="s">
        <v>102</v>
      </c>
    </row>
    <row r="14" spans="2:5" x14ac:dyDescent="0.3">
      <c r="B14" s="44" t="s">
        <v>108</v>
      </c>
      <c r="C14" s="48">
        <f>Gegevens!F19</f>
        <v>80</v>
      </c>
      <c r="D14" s="290"/>
    </row>
    <row r="15" spans="2:5" x14ac:dyDescent="0.3">
      <c r="B15" s="44" t="s">
        <v>109</v>
      </c>
      <c r="C15" s="48">
        <f>Gegevens!F20</f>
        <v>236</v>
      </c>
      <c r="D15" s="290"/>
    </row>
    <row r="16" spans="2:5" x14ac:dyDescent="0.3">
      <c r="B16" s="44" t="s">
        <v>110</v>
      </c>
      <c r="C16" s="48">
        <f>Gegevens!F21</f>
        <v>102</v>
      </c>
      <c r="D16" s="285"/>
    </row>
    <row r="17" spans="2:4" x14ac:dyDescent="0.3">
      <c r="B17" s="44" t="s">
        <v>111</v>
      </c>
      <c r="C17" s="48">
        <f>Gegevens!F22</f>
        <v>350</v>
      </c>
      <c r="D17" s="285"/>
    </row>
    <row r="18" spans="2:4" x14ac:dyDescent="0.3">
      <c r="B18" s="44" t="s">
        <v>112</v>
      </c>
      <c r="C18" s="44">
        <f>Gegevens!F23</f>
        <v>4</v>
      </c>
      <c r="D18" s="284"/>
    </row>
    <row r="19" spans="2:4" x14ac:dyDescent="0.3">
      <c r="B19" s="204" t="s">
        <v>113</v>
      </c>
      <c r="C19" s="195">
        <f>Gegevens!F24</f>
        <v>192</v>
      </c>
      <c r="D19" s="195">
        <f>(IF(D14=0,C14,D14)+IF(D15=0,C15,D15)+IF(D16=0,C16,D16)+IF(D17=0,C17,D17))/IF(D18=0,C18,D18)</f>
        <v>192</v>
      </c>
    </row>
    <row r="20" spans="2:4" x14ac:dyDescent="0.3">
      <c r="D20" s="86"/>
    </row>
    <row r="21" spans="2:4" x14ac:dyDescent="0.3">
      <c r="B21" s="193" t="s">
        <v>114</v>
      </c>
      <c r="C21" s="193"/>
      <c r="D21" s="204"/>
    </row>
    <row r="22" spans="2:4" x14ac:dyDescent="0.3">
      <c r="B22" s="11" t="s">
        <v>115</v>
      </c>
      <c r="C22" s="48">
        <f>Gegevens!F27</f>
        <v>100</v>
      </c>
      <c r="D22" s="285"/>
    </row>
    <row r="23" spans="2:4" x14ac:dyDescent="0.3">
      <c r="B23" s="11" t="s">
        <v>116</v>
      </c>
      <c r="C23" s="48">
        <f>Gegevens!F28</f>
        <v>0</v>
      </c>
      <c r="D23" s="285"/>
    </row>
    <row r="24" spans="2:4" x14ac:dyDescent="0.3">
      <c r="B24" s="11" t="s">
        <v>117</v>
      </c>
      <c r="C24" s="48">
        <f>Gegevens!F29</f>
        <v>0</v>
      </c>
      <c r="D24" s="285"/>
    </row>
    <row r="25" spans="2:4" x14ac:dyDescent="0.3">
      <c r="B25" s="193" t="s">
        <v>113</v>
      </c>
      <c r="C25" s="195">
        <f>Gegevens!F30</f>
        <v>100</v>
      </c>
      <c r="D25" s="195">
        <f>IF(D22=0,C22,D22)+IF(D23=0,C23,D23)+IF(D24=0,C24,D24)</f>
        <v>100</v>
      </c>
    </row>
    <row r="26" spans="2:4" x14ac:dyDescent="0.3">
      <c r="D26" s="86"/>
    </row>
    <row r="27" spans="2:4" x14ac:dyDescent="0.3">
      <c r="B27" s="193" t="s">
        <v>118</v>
      </c>
      <c r="C27" s="193"/>
      <c r="D27" s="204"/>
    </row>
    <row r="28" spans="2:4" x14ac:dyDescent="0.3">
      <c r="B28" s="11" t="s">
        <v>128</v>
      </c>
      <c r="C28" s="48">
        <f>Gegevens!F33</f>
        <v>0</v>
      </c>
      <c r="D28" s="285"/>
    </row>
    <row r="29" spans="2:4" x14ac:dyDescent="0.3">
      <c r="B29" s="11" t="s">
        <v>120</v>
      </c>
      <c r="C29" s="44">
        <f>Gegevens!F34</f>
        <v>0</v>
      </c>
      <c r="D29" s="284"/>
    </row>
    <row r="30" spans="2:4" x14ac:dyDescent="0.3">
      <c r="B30" s="193" t="s">
        <v>113</v>
      </c>
      <c r="C30" s="195">
        <f>Gegevens!F35</f>
        <v>0</v>
      </c>
      <c r="D30" s="195">
        <f>(IF(D28=0,C28,D28)*IF(D29=0,C29,D29))/10</f>
        <v>0</v>
      </c>
    </row>
    <row r="31" spans="2:4" x14ac:dyDescent="0.3">
      <c r="D31" s="86"/>
    </row>
    <row r="32" spans="2:4" x14ac:dyDescent="0.3">
      <c r="B32" s="193" t="s">
        <v>121</v>
      </c>
      <c r="C32" s="193"/>
      <c r="D32" s="204"/>
    </row>
    <row r="33" spans="2:6" x14ac:dyDescent="0.3">
      <c r="B33" s="11" t="s">
        <v>122</v>
      </c>
      <c r="C33" s="44">
        <f>Gegevens!F38</f>
        <v>5</v>
      </c>
      <c r="D33" s="284"/>
    </row>
    <row r="34" spans="2:6" x14ac:dyDescent="0.3">
      <c r="B34" s="11" t="s">
        <v>123</v>
      </c>
      <c r="C34" s="48">
        <f>Gegevens!F39</f>
        <v>146</v>
      </c>
      <c r="D34" s="285"/>
      <c r="F34" t="s">
        <v>55</v>
      </c>
    </row>
    <row r="35" spans="2:6" x14ac:dyDescent="0.3">
      <c r="B35" s="11" t="s">
        <v>124</v>
      </c>
      <c r="C35" s="48">
        <f>Gegevens!F40</f>
        <v>31</v>
      </c>
      <c r="D35" s="285"/>
    </row>
    <row r="36" spans="2:6" x14ac:dyDescent="0.3">
      <c r="B36" s="193" t="s">
        <v>113</v>
      </c>
      <c r="C36" s="195">
        <f>Gegevens!F41</f>
        <v>761</v>
      </c>
      <c r="D36" s="195">
        <f>(IF(D33=0,C33,D33)*IF(D34=0,C34,D34))+IF(D35=0,C35,D35)</f>
        <v>761</v>
      </c>
    </row>
    <row r="37" spans="2:6" x14ac:dyDescent="0.3">
      <c r="D37" s="86"/>
    </row>
    <row r="38" spans="2:6" x14ac:dyDescent="0.3">
      <c r="B38" s="11" t="s">
        <v>7</v>
      </c>
      <c r="C38" s="48">
        <f>C36+C30+C25+C19</f>
        <v>1053</v>
      </c>
      <c r="D38" s="48">
        <f>D36+D30+D25+D19</f>
        <v>1053</v>
      </c>
      <c r="E38" s="26"/>
    </row>
    <row r="39" spans="2:6" x14ac:dyDescent="0.3">
      <c r="B39" s="11" t="s">
        <v>125</v>
      </c>
      <c r="C39" s="47">
        <f>IF(C9=0,0,C38/C9)</f>
        <v>0.1053</v>
      </c>
      <c r="D39" s="47">
        <f>IF(D9=0,D38/C9,D38/D9)</f>
        <v>0.1053</v>
      </c>
    </row>
    <row r="40" spans="2:6" x14ac:dyDescent="0.3">
      <c r="B40" s="11" t="s">
        <v>126</v>
      </c>
      <c r="C40" s="47">
        <f>IF(C9=0,0,IF(C10=0,0,C38/(C9*C10/1000)))</f>
        <v>0.116353591160221</v>
      </c>
      <c r="D40" s="47">
        <f>IF(D9=0,IF(D10=0,D38/(C9*C10),D38/C9*D10),IF(D10=0,D38/(D9*C10),D38/D9*D10))*1000</f>
        <v>0.116353591160221</v>
      </c>
    </row>
  </sheetData>
  <sheetProtection sheet="1" objects="1" scenarios="1" selectLockedCells="1"/>
  <mergeCells count="1">
    <mergeCell ref="B2:D3"/>
  </mergeCells>
  <conditionalFormatting sqref="D8:D40">
    <cfRule type="expression" dxfId="84" priority="75">
      <formula>$B$5=1</formula>
    </cfRule>
  </conditionalFormatting>
  <conditionalFormatting sqref="D16:D40 D9:D11">
    <cfRule type="expression" dxfId="83" priority="76">
      <formula>$B$5=1</formula>
    </cfRule>
  </conditionalFormatting>
  <dataValidations count="1">
    <dataValidation type="decimal" operator="greaterThanOrEqual" allowBlank="1" showInputMessage="1" showErrorMessage="1" errorTitle="Fout" error="Typ een getal groter of gelijk aan 0." sqref="B5 D9:D11 D14:D18 D22:D24 D28 D29 D33 D34 D35" xr:uid="{C8FF84AB-6783-410B-86CD-3D2CC77D0524}">
      <formula1>0</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Option Button 1">
              <controlPr defaultSize="0" autoFill="0" autoLine="0" autoPict="0">
                <anchor moveWithCells="1">
                  <from>
                    <xdr:col>1</xdr:col>
                    <xdr:colOff>0</xdr:colOff>
                    <xdr:row>4</xdr:row>
                    <xdr:rowOff>0</xdr:rowOff>
                  </from>
                  <to>
                    <xdr:col>2</xdr:col>
                    <xdr:colOff>0</xdr:colOff>
                    <xdr:row>5</xdr:row>
                    <xdr:rowOff>0</xdr:rowOff>
                  </to>
                </anchor>
              </controlPr>
            </control>
          </mc:Choice>
        </mc:AlternateContent>
        <mc:AlternateContent xmlns:mc="http://schemas.openxmlformats.org/markup-compatibility/2006">
          <mc:Choice Requires="x14">
            <control shapeId="17410" r:id="rId5" name="Option Button 2">
              <controlPr defaultSize="0" autoFill="0" autoLine="0" autoPict="0">
                <anchor moveWithCells="1">
                  <from>
                    <xdr:col>1</xdr:col>
                    <xdr:colOff>0</xdr:colOff>
                    <xdr:row>4</xdr:row>
                    <xdr:rowOff>182880</xdr:rowOff>
                  </from>
                  <to>
                    <xdr:col>2</xdr:col>
                    <xdr:colOff>0</xdr:colOff>
                    <xdr:row>6</xdr:row>
                    <xdr:rowOff>7620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5DFE17-D4EF-441A-BD8D-DB2466D33076}">
  <sheetPr codeName="Blad13">
    <tabColor theme="8" tint="0.59999389629810485"/>
  </sheetPr>
  <dimension ref="B2:F40"/>
  <sheetViews>
    <sheetView showGridLines="0" zoomScale="80" zoomScaleNormal="80" workbookViewId="0">
      <selection activeCell="D10" sqref="D10"/>
    </sheetView>
  </sheetViews>
  <sheetFormatPr defaultRowHeight="14.4" x14ac:dyDescent="0.3"/>
  <cols>
    <col min="1" max="1" width="2.77734375" customWidth="1"/>
    <col min="2" max="2" width="30.5546875" customWidth="1"/>
    <col min="3" max="4" width="16.77734375" customWidth="1"/>
    <col min="5" max="5" width="2.77734375" customWidth="1"/>
  </cols>
  <sheetData>
    <row r="2" spans="2:5" x14ac:dyDescent="0.3">
      <c r="B2" s="456" t="s">
        <v>233</v>
      </c>
      <c r="C2" s="456"/>
      <c r="D2" s="456"/>
    </row>
    <row r="3" spans="2:5" x14ac:dyDescent="0.3">
      <c r="B3" s="456"/>
      <c r="C3" s="456"/>
      <c r="D3" s="456"/>
    </row>
    <row r="5" spans="2:5" x14ac:dyDescent="0.3">
      <c r="B5" s="277">
        <v>1</v>
      </c>
    </row>
    <row r="6" spans="2:5" x14ac:dyDescent="0.3">
      <c r="B6" s="240"/>
    </row>
    <row r="8" spans="2:5" x14ac:dyDescent="0.3">
      <c r="B8" s="193"/>
      <c r="C8" s="220" t="s">
        <v>101</v>
      </c>
      <c r="D8" s="218" t="s">
        <v>102</v>
      </c>
    </row>
    <row r="9" spans="2:5" x14ac:dyDescent="0.3">
      <c r="B9" s="11" t="s">
        <v>103</v>
      </c>
      <c r="C9" s="44">
        <f>Gegevens!G14</f>
        <v>10500</v>
      </c>
      <c r="D9" s="287"/>
    </row>
    <row r="10" spans="2:5" x14ac:dyDescent="0.3">
      <c r="B10" s="11" t="s">
        <v>104</v>
      </c>
      <c r="C10" s="44">
        <f>Gegevens!G15</f>
        <v>880</v>
      </c>
      <c r="D10" s="287"/>
    </row>
    <row r="11" spans="2:5" x14ac:dyDescent="0.3">
      <c r="B11" s="11" t="s">
        <v>105</v>
      </c>
      <c r="C11" s="44">
        <f>Gegevens!G16</f>
        <v>48</v>
      </c>
      <c r="D11" s="287"/>
    </row>
    <row r="12" spans="2:5" x14ac:dyDescent="0.3">
      <c r="D12" s="86"/>
    </row>
    <row r="13" spans="2:5" x14ac:dyDescent="0.3">
      <c r="B13" s="193" t="s">
        <v>127</v>
      </c>
      <c r="C13" s="211" t="s">
        <v>107</v>
      </c>
      <c r="D13" s="219" t="s">
        <v>102</v>
      </c>
    </row>
    <row r="14" spans="2:5" x14ac:dyDescent="0.3">
      <c r="B14" s="44" t="s">
        <v>108</v>
      </c>
      <c r="C14" s="48">
        <f>Gegevens!G19</f>
        <v>80</v>
      </c>
      <c r="D14" s="290"/>
    </row>
    <row r="15" spans="2:5" x14ac:dyDescent="0.3">
      <c r="B15" s="44" t="s">
        <v>109</v>
      </c>
      <c r="C15" s="48">
        <f>Gegevens!G20</f>
        <v>236</v>
      </c>
      <c r="D15" s="290"/>
    </row>
    <row r="16" spans="2:5" x14ac:dyDescent="0.3">
      <c r="B16" s="44" t="s">
        <v>110</v>
      </c>
      <c r="C16" s="48">
        <f>Gegevens!G21</f>
        <v>104</v>
      </c>
      <c r="D16" s="285"/>
    </row>
    <row r="17" spans="2:4" x14ac:dyDescent="0.3">
      <c r="B17" s="44" t="s">
        <v>111</v>
      </c>
      <c r="C17" s="48">
        <f>Gegevens!G22</f>
        <v>476</v>
      </c>
      <c r="D17" s="285"/>
    </row>
    <row r="18" spans="2:4" x14ac:dyDescent="0.3">
      <c r="B18" s="44" t="s">
        <v>112</v>
      </c>
      <c r="C18" s="44">
        <f>Gegevens!G23</f>
        <v>4</v>
      </c>
      <c r="D18" s="284"/>
    </row>
    <row r="19" spans="2:4" x14ac:dyDescent="0.3">
      <c r="B19" s="204" t="s">
        <v>113</v>
      </c>
      <c r="C19" s="195">
        <f>Gegevens!G24</f>
        <v>224</v>
      </c>
      <c r="D19" s="195">
        <f>(IF(D14=0,C14,D14)+IF(D15=0,C15,D15)+IF(D16=0,C16,D16)+IF(D17=0,C17,D17))/IF(D18=0,C18,D18)</f>
        <v>224</v>
      </c>
    </row>
    <row r="20" spans="2:4" x14ac:dyDescent="0.3">
      <c r="D20" s="86"/>
    </row>
    <row r="21" spans="2:4" x14ac:dyDescent="0.3">
      <c r="B21" s="193" t="s">
        <v>114</v>
      </c>
      <c r="C21" s="193"/>
      <c r="D21" s="204"/>
    </row>
    <row r="22" spans="2:4" x14ac:dyDescent="0.3">
      <c r="B22" s="11" t="s">
        <v>115</v>
      </c>
      <c r="C22" s="48">
        <f>Gegevens!G27</f>
        <v>150</v>
      </c>
      <c r="D22" s="285"/>
    </row>
    <row r="23" spans="2:4" x14ac:dyDescent="0.3">
      <c r="B23" s="11" t="s">
        <v>116</v>
      </c>
      <c r="C23" s="48">
        <f>Gegevens!G28</f>
        <v>180</v>
      </c>
      <c r="D23" s="285"/>
    </row>
    <row r="24" spans="2:4" x14ac:dyDescent="0.3">
      <c r="B24" s="11" t="s">
        <v>117</v>
      </c>
      <c r="C24" s="48">
        <f>Gegevens!G29</f>
        <v>57</v>
      </c>
      <c r="D24" s="285"/>
    </row>
    <row r="25" spans="2:4" x14ac:dyDescent="0.3">
      <c r="B25" s="193" t="s">
        <v>113</v>
      </c>
      <c r="C25" s="195">
        <f>Gegevens!G30</f>
        <v>387</v>
      </c>
      <c r="D25" s="195">
        <f>IF(D22=0,C22,D22)+IF(D23=0,C23,D23)+IF(D24=0,C24,D24)</f>
        <v>387</v>
      </c>
    </row>
    <row r="26" spans="2:4" x14ac:dyDescent="0.3">
      <c r="D26" s="86"/>
    </row>
    <row r="27" spans="2:4" x14ac:dyDescent="0.3">
      <c r="B27" s="193" t="s">
        <v>118</v>
      </c>
      <c r="C27" s="193"/>
      <c r="D27" s="204"/>
    </row>
    <row r="28" spans="2:4" x14ac:dyDescent="0.3">
      <c r="B28" s="11" t="s">
        <v>128</v>
      </c>
      <c r="C28" s="48">
        <f>Gegevens!G33</f>
        <v>103</v>
      </c>
      <c r="D28" s="285"/>
    </row>
    <row r="29" spans="2:4" x14ac:dyDescent="0.3">
      <c r="B29" s="11" t="s">
        <v>120</v>
      </c>
      <c r="C29" s="44">
        <f>Gegevens!G34</f>
        <v>2</v>
      </c>
      <c r="D29" s="284"/>
    </row>
    <row r="30" spans="2:4" x14ac:dyDescent="0.3">
      <c r="B30" s="193" t="s">
        <v>113</v>
      </c>
      <c r="C30" s="195">
        <f>Gegevens!G35</f>
        <v>20.6</v>
      </c>
      <c r="D30" s="195">
        <f>(IF(D28=0,C28,D28)*IF(D29=0,C29,D29))/10</f>
        <v>20.6</v>
      </c>
    </row>
    <row r="31" spans="2:4" x14ac:dyDescent="0.3">
      <c r="D31" s="86"/>
    </row>
    <row r="32" spans="2:4" x14ac:dyDescent="0.3">
      <c r="B32" s="193" t="s">
        <v>121</v>
      </c>
      <c r="C32" s="193"/>
      <c r="D32" s="204"/>
    </row>
    <row r="33" spans="2:6" x14ac:dyDescent="0.3">
      <c r="B33" s="11" t="s">
        <v>122</v>
      </c>
      <c r="C33" s="44">
        <f>Gegevens!G38</f>
        <v>4</v>
      </c>
      <c r="D33" s="284"/>
      <c r="F33" t="s">
        <v>55</v>
      </c>
    </row>
    <row r="34" spans="2:6" x14ac:dyDescent="0.3">
      <c r="B34" s="11" t="s">
        <v>123</v>
      </c>
      <c r="C34" s="48">
        <f>Gegevens!G39</f>
        <v>158</v>
      </c>
      <c r="D34" s="285"/>
    </row>
    <row r="35" spans="2:6" x14ac:dyDescent="0.3">
      <c r="B35" s="11" t="s">
        <v>124</v>
      </c>
      <c r="C35" s="48">
        <f>Gegevens!G40</f>
        <v>91</v>
      </c>
      <c r="D35" s="285"/>
    </row>
    <row r="36" spans="2:6" x14ac:dyDescent="0.3">
      <c r="B36" s="193" t="s">
        <v>113</v>
      </c>
      <c r="C36" s="195">
        <f>Gegevens!G41</f>
        <v>723</v>
      </c>
      <c r="D36" s="195">
        <f>(IF(D33=0,C33,D33)*IF(D34=0,C34,D34))+IF(D35=0,C35,D35)</f>
        <v>723</v>
      </c>
    </row>
    <row r="37" spans="2:6" x14ac:dyDescent="0.3">
      <c r="D37" s="86"/>
    </row>
    <row r="38" spans="2:6" x14ac:dyDescent="0.3">
      <c r="B38" s="11" t="s">
        <v>7</v>
      </c>
      <c r="C38" s="48">
        <f>C36+C30+C25+C19</f>
        <v>1354.6</v>
      </c>
      <c r="D38" s="88">
        <f>D36+D30+D25+D19</f>
        <v>1354.6</v>
      </c>
    </row>
    <row r="39" spans="2:6" x14ac:dyDescent="0.3">
      <c r="B39" s="11" t="s">
        <v>125</v>
      </c>
      <c r="C39" s="47">
        <f>IF(C9=0,0,C38/C9)</f>
        <v>0.1290095238095238</v>
      </c>
      <c r="D39" s="87">
        <f>IF(D9=0,D38/C9,D38/D9)</f>
        <v>0.1290095238095238</v>
      </c>
    </row>
    <row r="40" spans="2:6" x14ac:dyDescent="0.3">
      <c r="B40" s="11" t="s">
        <v>126</v>
      </c>
      <c r="C40" s="47">
        <f>IF(C9=0,0,IF(C10=0,0,C38/(C9*C10/1000)))</f>
        <v>0.14660173160173159</v>
      </c>
      <c r="D40" s="87">
        <f>IF(D9=0,IF(D10=0,D38/(C9*C10),D38/C9*D10),IF(D10=0,D38/(D9*C10),D38/D9*D10))*1000</f>
        <v>0.14660173160173159</v>
      </c>
    </row>
  </sheetData>
  <sheetProtection sheet="1" objects="1" scenarios="1" selectLockedCells="1"/>
  <mergeCells count="1">
    <mergeCell ref="B2:D3"/>
  </mergeCells>
  <conditionalFormatting sqref="D8:D40">
    <cfRule type="expression" dxfId="82" priority="77">
      <formula>$B$5=1</formula>
    </cfRule>
  </conditionalFormatting>
  <conditionalFormatting sqref="D16:D40 D9:D11">
    <cfRule type="expression" dxfId="81" priority="78">
      <formula>$B$5=1</formula>
    </cfRule>
  </conditionalFormatting>
  <dataValidations count="1">
    <dataValidation type="decimal" operator="greaterThanOrEqual" allowBlank="1" showInputMessage="1" showErrorMessage="1" errorTitle="Fout" error="Typ een getal groter of gelijk aan 0." sqref="B5 D9:D11 D14:D18 D22:D24 D28 D29 D33 D34 D35" xr:uid="{F0DBBD14-437F-4149-A7D5-C36C780D1A65}">
      <formula1>0</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433" r:id="rId4" name="Option Button 1">
              <controlPr defaultSize="0" autoFill="0" autoLine="0" autoPict="0">
                <anchor moveWithCells="1">
                  <from>
                    <xdr:col>1</xdr:col>
                    <xdr:colOff>0</xdr:colOff>
                    <xdr:row>4</xdr:row>
                    <xdr:rowOff>0</xdr:rowOff>
                  </from>
                  <to>
                    <xdr:col>2</xdr:col>
                    <xdr:colOff>0</xdr:colOff>
                    <xdr:row>5</xdr:row>
                    <xdr:rowOff>0</xdr:rowOff>
                  </to>
                </anchor>
              </controlPr>
            </control>
          </mc:Choice>
        </mc:AlternateContent>
        <mc:AlternateContent xmlns:mc="http://schemas.openxmlformats.org/markup-compatibility/2006">
          <mc:Choice Requires="x14">
            <control shapeId="18434" r:id="rId5" name="Option Button 2">
              <controlPr defaultSize="0" autoFill="0" autoLine="0" autoPict="0">
                <anchor moveWithCells="1">
                  <from>
                    <xdr:col>1</xdr:col>
                    <xdr:colOff>0</xdr:colOff>
                    <xdr:row>4</xdr:row>
                    <xdr:rowOff>182880</xdr:rowOff>
                  </from>
                  <to>
                    <xdr:col>2</xdr:col>
                    <xdr:colOff>0</xdr:colOff>
                    <xdr:row>6</xdr:row>
                    <xdr:rowOff>7620</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51D7F5-A702-409D-9657-A289DBFFBEB3}">
  <sheetPr codeName="Blad9">
    <tabColor theme="8" tint="0.59999389629810485"/>
  </sheetPr>
  <dimension ref="B2:H40"/>
  <sheetViews>
    <sheetView showGridLines="0" zoomScale="80" zoomScaleNormal="80" workbookViewId="0">
      <selection activeCell="D16" sqref="D16"/>
    </sheetView>
  </sheetViews>
  <sheetFormatPr defaultRowHeight="14.4" x14ac:dyDescent="0.3"/>
  <cols>
    <col min="1" max="1" width="2.77734375" customWidth="1"/>
    <col min="2" max="2" width="30.5546875" customWidth="1"/>
    <col min="3" max="4" width="16.77734375" customWidth="1"/>
    <col min="5" max="5" width="2.77734375" customWidth="1"/>
    <col min="8" max="8" width="8.77734375" style="1"/>
  </cols>
  <sheetData>
    <row r="2" spans="2:5" x14ac:dyDescent="0.3">
      <c r="B2" s="456" t="s">
        <v>232</v>
      </c>
      <c r="C2" s="456"/>
      <c r="D2" s="456"/>
    </row>
    <row r="3" spans="2:5" x14ac:dyDescent="0.3">
      <c r="B3" s="456"/>
      <c r="C3" s="456"/>
      <c r="D3" s="456"/>
    </row>
    <row r="5" spans="2:5" x14ac:dyDescent="0.3">
      <c r="B5" s="277">
        <v>1</v>
      </c>
    </row>
    <row r="6" spans="2:5" x14ac:dyDescent="0.3">
      <c r="B6" s="240"/>
    </row>
    <row r="8" spans="2:5" x14ac:dyDescent="0.3">
      <c r="B8" s="193"/>
      <c r="C8" s="220" t="s">
        <v>101</v>
      </c>
      <c r="D8" s="218" t="s">
        <v>102</v>
      </c>
    </row>
    <row r="9" spans="2:5" x14ac:dyDescent="0.3">
      <c r="B9" s="11" t="s">
        <v>103</v>
      </c>
      <c r="C9" s="44">
        <f>Gegevens!H14</f>
        <v>6000</v>
      </c>
      <c r="D9" s="287"/>
    </row>
    <row r="10" spans="2:5" x14ac:dyDescent="0.3">
      <c r="B10" s="11" t="s">
        <v>104</v>
      </c>
      <c r="C10" s="44">
        <f>Gegevens!H15</f>
        <v>720</v>
      </c>
      <c r="D10" s="287"/>
    </row>
    <row r="11" spans="2:5" x14ac:dyDescent="0.3">
      <c r="B11" s="11" t="s">
        <v>105</v>
      </c>
      <c r="C11" s="44">
        <f>Gegevens!H16</f>
        <v>50</v>
      </c>
      <c r="D11" s="287"/>
    </row>
    <row r="12" spans="2:5" x14ac:dyDescent="0.3">
      <c r="D12" s="86"/>
    </row>
    <row r="13" spans="2:5" x14ac:dyDescent="0.3">
      <c r="B13" s="193" t="s">
        <v>127</v>
      </c>
      <c r="C13" s="211" t="s">
        <v>107</v>
      </c>
      <c r="D13" s="219" t="s">
        <v>102</v>
      </c>
    </row>
    <row r="14" spans="2:5" x14ac:dyDescent="0.3">
      <c r="B14" s="44" t="s">
        <v>108</v>
      </c>
      <c r="C14" s="48">
        <f>Gegevens!H19</f>
        <v>0</v>
      </c>
      <c r="D14" s="290"/>
    </row>
    <row r="15" spans="2:5" x14ac:dyDescent="0.3">
      <c r="B15" s="44" t="s">
        <v>109</v>
      </c>
      <c r="C15" s="48">
        <f>Gegevens!H20</f>
        <v>0</v>
      </c>
      <c r="D15" s="290"/>
    </row>
    <row r="16" spans="2:5" x14ac:dyDescent="0.3">
      <c r="B16" s="44" t="s">
        <v>110</v>
      </c>
      <c r="C16" s="48">
        <f>Gegevens!H21</f>
        <v>0</v>
      </c>
      <c r="D16" s="285"/>
    </row>
    <row r="17" spans="2:4" x14ac:dyDescent="0.3">
      <c r="B17" s="44" t="s">
        <v>111</v>
      </c>
      <c r="C17" s="48">
        <f>Gegevens!H22</f>
        <v>0</v>
      </c>
      <c r="D17" s="285"/>
    </row>
    <row r="18" spans="2:4" x14ac:dyDescent="0.3">
      <c r="B18" s="44" t="s">
        <v>112</v>
      </c>
      <c r="C18" s="44">
        <f>Gegevens!H23</f>
        <v>0</v>
      </c>
      <c r="D18" s="284"/>
    </row>
    <row r="19" spans="2:4" x14ac:dyDescent="0.3">
      <c r="B19" s="204" t="s">
        <v>113</v>
      </c>
      <c r="C19" s="195">
        <f>Gegevens!H24</f>
        <v>0</v>
      </c>
      <c r="D19" s="195">
        <f>IF(D18=0,0,(IF(D14=0,C14,D14)+IF(D15=0,C15,D15)+IF(D16=0,C16,D16)+IF(D17=0,C17,D17))/IF(D18=0,C18,D18))</f>
        <v>0</v>
      </c>
    </row>
    <row r="20" spans="2:4" x14ac:dyDescent="0.3">
      <c r="D20" s="86"/>
    </row>
    <row r="21" spans="2:4" x14ac:dyDescent="0.3">
      <c r="B21" s="193" t="s">
        <v>114</v>
      </c>
      <c r="C21" s="193"/>
      <c r="D21" s="204"/>
    </row>
    <row r="22" spans="2:4" x14ac:dyDescent="0.3">
      <c r="B22" s="11" t="s">
        <v>115</v>
      </c>
      <c r="C22" s="48">
        <f>Gegevens!H27</f>
        <v>125</v>
      </c>
      <c r="D22" s="285"/>
    </row>
    <row r="23" spans="2:4" x14ac:dyDescent="0.3">
      <c r="B23" s="11" t="s">
        <v>116</v>
      </c>
      <c r="C23" s="48">
        <f>Gegevens!H28</f>
        <v>0</v>
      </c>
      <c r="D23" s="285"/>
    </row>
    <row r="24" spans="2:4" x14ac:dyDescent="0.3">
      <c r="B24" s="11" t="s">
        <v>117</v>
      </c>
      <c r="C24" s="48">
        <f>Gegevens!H29</f>
        <v>0</v>
      </c>
      <c r="D24" s="285"/>
    </row>
    <row r="25" spans="2:4" x14ac:dyDescent="0.3">
      <c r="B25" s="193" t="s">
        <v>113</v>
      </c>
      <c r="C25" s="195">
        <f>Gegevens!H30</f>
        <v>125</v>
      </c>
      <c r="D25" s="195">
        <f>IF(D22=0,C22,D22)+IF(D23=0,C23,D23)+IF(D24=0,C24,D24)</f>
        <v>125</v>
      </c>
    </row>
    <row r="26" spans="2:4" x14ac:dyDescent="0.3">
      <c r="D26" s="86"/>
    </row>
    <row r="27" spans="2:4" x14ac:dyDescent="0.3">
      <c r="B27" s="193" t="s">
        <v>118</v>
      </c>
      <c r="C27" s="193"/>
      <c r="D27" s="204"/>
    </row>
    <row r="28" spans="2:4" x14ac:dyDescent="0.3">
      <c r="B28" s="11" t="s">
        <v>128</v>
      </c>
      <c r="C28" s="48">
        <f>Gegevens!H33</f>
        <v>0</v>
      </c>
      <c r="D28" s="285"/>
    </row>
    <row r="29" spans="2:4" x14ac:dyDescent="0.3">
      <c r="B29" s="11" t="s">
        <v>120</v>
      </c>
      <c r="C29" s="44">
        <f>Gegevens!H34</f>
        <v>0</v>
      </c>
      <c r="D29" s="284"/>
    </row>
    <row r="30" spans="2:4" x14ac:dyDescent="0.3">
      <c r="B30" s="193" t="s">
        <v>113</v>
      </c>
      <c r="C30" s="195">
        <f>Gegevens!H35</f>
        <v>0</v>
      </c>
      <c r="D30" s="195">
        <f>(IF(D28=0,C28,D28)*IF(D29=0,C29,D29))/10</f>
        <v>0</v>
      </c>
    </row>
    <row r="31" spans="2:4" x14ac:dyDescent="0.3">
      <c r="D31" s="86"/>
    </row>
    <row r="32" spans="2:4" x14ac:dyDescent="0.3">
      <c r="B32" s="193" t="s">
        <v>121</v>
      </c>
      <c r="C32" s="193"/>
      <c r="D32" s="204"/>
    </row>
    <row r="33" spans="2:6" x14ac:dyDescent="0.3">
      <c r="B33" s="11" t="s">
        <v>122</v>
      </c>
      <c r="C33" s="44">
        <f>Gegevens!H38</f>
        <v>3</v>
      </c>
      <c r="D33" s="284"/>
    </row>
    <row r="34" spans="2:6" x14ac:dyDescent="0.3">
      <c r="B34" s="11" t="s">
        <v>123</v>
      </c>
      <c r="C34" s="48">
        <f>Gegevens!H39</f>
        <v>146</v>
      </c>
      <c r="D34" s="285"/>
      <c r="F34" t="s">
        <v>55</v>
      </c>
    </row>
    <row r="35" spans="2:6" x14ac:dyDescent="0.3">
      <c r="B35" s="11" t="s">
        <v>124</v>
      </c>
      <c r="C35" s="48">
        <f>Gegevens!H40</f>
        <v>31</v>
      </c>
      <c r="D35" s="285"/>
    </row>
    <row r="36" spans="2:6" x14ac:dyDescent="0.3">
      <c r="B36" s="193" t="s">
        <v>113</v>
      </c>
      <c r="C36" s="195">
        <f>Gegevens!H41</f>
        <v>469</v>
      </c>
      <c r="D36" s="195">
        <f>(IF(D33=0,C33,D33)*IF(D34=0,C34,D34))+IF(D35=0,C35,D35)</f>
        <v>469</v>
      </c>
    </row>
    <row r="37" spans="2:6" x14ac:dyDescent="0.3">
      <c r="D37" s="86"/>
    </row>
    <row r="38" spans="2:6" x14ac:dyDescent="0.3">
      <c r="B38" s="11" t="s">
        <v>7</v>
      </c>
      <c r="C38" s="48">
        <f>C36+C30+C25+C19</f>
        <v>594</v>
      </c>
      <c r="D38" s="48">
        <f>D36+D30+D25+D19</f>
        <v>594</v>
      </c>
    </row>
    <row r="39" spans="2:6" x14ac:dyDescent="0.3">
      <c r="B39" s="11" t="s">
        <v>125</v>
      </c>
      <c r="C39" s="47">
        <f>IF(C9=0,0,C38/C9)</f>
        <v>9.9000000000000005E-2</v>
      </c>
      <c r="D39" s="47">
        <f>IF(D9=0,D38/C9,D38/D9)</f>
        <v>9.9000000000000005E-2</v>
      </c>
    </row>
    <row r="40" spans="2:6" x14ac:dyDescent="0.3">
      <c r="B40" s="11" t="s">
        <v>126</v>
      </c>
      <c r="C40" s="47">
        <f>IF(C9=0,0,IF(C10=0,0,C38/(C9*C10/1000)))</f>
        <v>0.13750000000000001</v>
      </c>
      <c r="D40" s="47">
        <f>IF(D9=0,IF(D10=0,D38/(C9*C10),D38/C9*D10),IF(D10=0,D38/(D9*C10),D38/D9*D10))*1000</f>
        <v>0.13750000000000001</v>
      </c>
    </row>
  </sheetData>
  <sheetProtection sheet="1" objects="1" scenarios="1" selectLockedCells="1"/>
  <mergeCells count="1">
    <mergeCell ref="B2:D3"/>
  </mergeCells>
  <conditionalFormatting sqref="D8:D40">
    <cfRule type="expression" dxfId="80" priority="79">
      <formula>$B$5=1</formula>
    </cfRule>
  </conditionalFormatting>
  <conditionalFormatting sqref="D16:D40 D9:D11">
    <cfRule type="expression" dxfId="79" priority="80">
      <formula>$B$5=1</formula>
    </cfRule>
  </conditionalFormatting>
  <dataValidations count="1">
    <dataValidation type="decimal" operator="greaterThanOrEqual" allowBlank="1" showInputMessage="1" showErrorMessage="1" errorTitle="Fout" error="Typ een getal groter of gelijk aan 0." sqref="B5 D9:D11 D14:D18 D22:D24 D28:D29 D33:D35" xr:uid="{400109BF-70A9-4527-ABBC-FA2AD399A57D}">
      <formula1>0</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Option Button 1">
              <controlPr defaultSize="0" autoFill="0" autoLine="0" autoPict="0">
                <anchor moveWithCells="1">
                  <from>
                    <xdr:col>1</xdr:col>
                    <xdr:colOff>0</xdr:colOff>
                    <xdr:row>4</xdr:row>
                    <xdr:rowOff>0</xdr:rowOff>
                  </from>
                  <to>
                    <xdr:col>2</xdr:col>
                    <xdr:colOff>0</xdr:colOff>
                    <xdr:row>5</xdr:row>
                    <xdr:rowOff>0</xdr:rowOff>
                  </to>
                </anchor>
              </controlPr>
            </control>
          </mc:Choice>
        </mc:AlternateContent>
        <mc:AlternateContent xmlns:mc="http://schemas.openxmlformats.org/markup-compatibility/2006">
          <mc:Choice Requires="x14">
            <control shapeId="19458" r:id="rId5" name="Option Button 2">
              <controlPr defaultSize="0" autoFill="0" autoLine="0" autoPict="0">
                <anchor moveWithCells="1">
                  <from>
                    <xdr:col>1</xdr:col>
                    <xdr:colOff>7620</xdr:colOff>
                    <xdr:row>5</xdr:row>
                    <xdr:rowOff>0</xdr:rowOff>
                  </from>
                  <to>
                    <xdr:col>2</xdr:col>
                    <xdr:colOff>7620</xdr:colOff>
                    <xdr:row>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D7F94-328B-4A49-8EA4-AB27E109BB33}">
  <sheetPr codeName="Blad4">
    <tabColor theme="5" tint="0.59999389629810485"/>
  </sheetPr>
  <dimension ref="A1:L49"/>
  <sheetViews>
    <sheetView showGridLines="0" zoomScale="80" zoomScaleNormal="80" workbookViewId="0">
      <selection activeCell="D21" sqref="D21"/>
    </sheetView>
  </sheetViews>
  <sheetFormatPr defaultColWidth="8.77734375" defaultRowHeight="14.4" x14ac:dyDescent="0.3"/>
  <cols>
    <col min="1" max="1" width="2.77734375" style="41" customWidth="1"/>
    <col min="2" max="2" width="28.5546875" style="41" bestFit="1" customWidth="1"/>
    <col min="3" max="3" width="28.44140625" style="41" customWidth="1"/>
    <col min="4" max="5" width="23.21875" style="41" bestFit="1" customWidth="1"/>
    <col min="6" max="7" width="20.5546875" style="41" bestFit="1" customWidth="1"/>
    <col min="8" max="8" width="8.77734375" style="10"/>
    <col min="9" max="9" width="24.5546875" style="41" bestFit="1" customWidth="1"/>
    <col min="10" max="12" width="11.77734375" style="41" bestFit="1" customWidth="1"/>
    <col min="13" max="16384" width="8.77734375" style="41"/>
  </cols>
  <sheetData>
    <row r="1" spans="1:12" x14ac:dyDescent="0.3">
      <c r="A1" s="163"/>
    </row>
    <row r="3" spans="1:12" ht="15" customHeight="1" x14ac:dyDescent="0.3"/>
    <row r="4" spans="1:12" x14ac:dyDescent="0.3">
      <c r="B4" s="340" t="s">
        <v>186</v>
      </c>
      <c r="C4" s="340"/>
      <c r="D4" s="340"/>
      <c r="E4" s="340"/>
      <c r="L4" s="10"/>
    </row>
    <row r="5" spans="1:12" x14ac:dyDescent="0.3">
      <c r="B5" s="340"/>
      <c r="C5" s="340"/>
      <c r="D5" s="340"/>
      <c r="E5" s="340"/>
      <c r="L5" s="10"/>
    </row>
    <row r="6" spans="1:12" ht="13.95" customHeight="1" x14ac:dyDescent="0.3">
      <c r="B6" s="189"/>
      <c r="C6" s="189"/>
      <c r="D6" s="189"/>
      <c r="L6" s="10"/>
    </row>
    <row r="7" spans="1:12" x14ac:dyDescent="0.3">
      <c r="B7" s="190"/>
      <c r="C7" s="190" t="s">
        <v>6</v>
      </c>
      <c r="D7" s="190" t="s">
        <v>7</v>
      </c>
      <c r="E7" s="190" t="s">
        <v>134</v>
      </c>
      <c r="F7" s="191" t="s">
        <v>8</v>
      </c>
      <c r="G7" s="192" t="s">
        <v>9</v>
      </c>
      <c r="L7" s="10"/>
    </row>
    <row r="8" spans="1:12" x14ac:dyDescent="0.3">
      <c r="B8" s="39" t="s">
        <v>10</v>
      </c>
      <c r="C8" s="272"/>
      <c r="D8" s="273"/>
      <c r="E8" s="335"/>
      <c r="F8" s="43">
        <f>-ABS(C8*D8)</f>
        <v>0</v>
      </c>
      <c r="G8" s="277" t="b">
        <v>1</v>
      </c>
      <c r="L8" s="10"/>
    </row>
    <row r="9" spans="1:12" x14ac:dyDescent="0.3">
      <c r="B9" s="39" t="s">
        <v>10</v>
      </c>
      <c r="C9" s="272"/>
      <c r="D9" s="273"/>
      <c r="E9" s="336"/>
      <c r="F9" s="43">
        <f>-ABS(C9*D9)</f>
        <v>0</v>
      </c>
      <c r="G9" s="277" t="b">
        <v>1</v>
      </c>
      <c r="L9" s="10"/>
    </row>
    <row r="10" spans="1:12" x14ac:dyDescent="0.3">
      <c r="B10" s="39" t="s">
        <v>10</v>
      </c>
      <c r="C10" s="272"/>
      <c r="D10" s="273"/>
      <c r="E10" s="336"/>
      <c r="F10" s="43">
        <f>-ABS(C10*D10)</f>
        <v>0</v>
      </c>
      <c r="G10" s="277" t="b">
        <v>1</v>
      </c>
      <c r="L10" s="10"/>
    </row>
    <row r="11" spans="1:12" x14ac:dyDescent="0.3">
      <c r="B11" s="39" t="s">
        <v>10</v>
      </c>
      <c r="C11" s="272"/>
      <c r="D11" s="273"/>
      <c r="E11" s="336"/>
      <c r="F11" s="43">
        <f>-ABS(C11*D11)</f>
        <v>0</v>
      </c>
      <c r="G11" s="277" t="b">
        <v>1</v>
      </c>
      <c r="L11" s="10"/>
    </row>
    <row r="12" spans="1:12" x14ac:dyDescent="0.3">
      <c r="B12" s="39" t="s">
        <v>10</v>
      </c>
      <c r="C12" s="272"/>
      <c r="D12" s="273"/>
      <c r="E12" s="337"/>
      <c r="F12" s="43">
        <f>-ABS(C12*D12)</f>
        <v>0</v>
      </c>
      <c r="G12" s="277" t="b">
        <v>1</v>
      </c>
      <c r="L12" s="10"/>
    </row>
    <row r="13" spans="1:12" x14ac:dyDescent="0.3">
      <c r="B13" s="39"/>
      <c r="C13" s="39"/>
      <c r="D13" s="37"/>
      <c r="E13" s="39"/>
      <c r="F13" s="43"/>
      <c r="G13" s="39"/>
      <c r="L13" s="10"/>
    </row>
    <row r="14" spans="1:12" x14ac:dyDescent="0.3">
      <c r="B14" s="39" t="s">
        <v>15</v>
      </c>
      <c r="C14" s="272"/>
      <c r="D14" s="273"/>
      <c r="E14" s="274"/>
      <c r="F14" s="43">
        <f>-ABS(D14*E14*C14)</f>
        <v>0</v>
      </c>
      <c r="G14" s="277" t="b">
        <v>1</v>
      </c>
      <c r="L14" s="10"/>
    </row>
    <row r="15" spans="1:12" x14ac:dyDescent="0.3">
      <c r="B15" s="39" t="s">
        <v>15</v>
      </c>
      <c r="C15" s="272"/>
      <c r="D15" s="273"/>
      <c r="E15" s="274"/>
      <c r="F15" s="43">
        <f t="shared" ref="F15:F16" si="0">-ABS(D15*E15*C15)</f>
        <v>0</v>
      </c>
      <c r="G15" s="277" t="b">
        <v>1</v>
      </c>
      <c r="L15" s="10"/>
    </row>
    <row r="16" spans="1:12" x14ac:dyDescent="0.3">
      <c r="B16" s="39" t="s">
        <v>15</v>
      </c>
      <c r="C16" s="272"/>
      <c r="D16" s="273"/>
      <c r="E16" s="274"/>
      <c r="F16" s="43">
        <f t="shared" si="0"/>
        <v>0</v>
      </c>
      <c r="G16" s="277" t="b">
        <v>1</v>
      </c>
      <c r="L16" s="10"/>
    </row>
    <row r="17" spans="2:12" x14ac:dyDescent="0.3">
      <c r="B17" s="39" t="s">
        <v>15</v>
      </c>
      <c r="C17" s="272"/>
      <c r="D17" s="273"/>
      <c r="E17" s="274"/>
      <c r="F17" s="43">
        <f>-ABS(D17*E17*C17)</f>
        <v>0</v>
      </c>
      <c r="G17" s="277" t="b">
        <v>1</v>
      </c>
      <c r="L17" s="10"/>
    </row>
    <row r="18" spans="2:12" x14ac:dyDescent="0.3">
      <c r="B18" s="39" t="s">
        <v>8</v>
      </c>
      <c r="C18" s="39">
        <f>SUM(C8:C17)</f>
        <v>0</v>
      </c>
      <c r="D18" s="37"/>
      <c r="E18" s="39"/>
      <c r="F18" s="43">
        <f>SUM(F8:F17)</f>
        <v>0</v>
      </c>
      <c r="G18" s="42"/>
      <c r="L18" s="10"/>
    </row>
    <row r="19" spans="2:12" x14ac:dyDescent="0.3">
      <c r="D19" s="55"/>
      <c r="F19" s="55"/>
    </row>
    <row r="20" spans="2:12" x14ac:dyDescent="0.3">
      <c r="B20" s="338" t="s">
        <v>17</v>
      </c>
      <c r="C20" s="338"/>
      <c r="D20" s="255" t="s">
        <v>18</v>
      </c>
      <c r="E20" s="231" t="s">
        <v>19</v>
      </c>
      <c r="F20" s="231" t="s">
        <v>20</v>
      </c>
    </row>
    <row r="21" spans="2:12" x14ac:dyDescent="0.3">
      <c r="B21" s="339">
        <f>IF(G8=TRUE,C8,0)+IF(G9=TRUE,C9,0)+IF(G10=TRUE,C10,0)+IF(G11=TRUE,C11,0)+IF(G12=TRUE,C12,0)+IF(G14=TRUE,C14,0)+IF(G15=TRUE,C15,0)+IF(G16=TRUE,C16,0)+IF(G17=TRUE,C17,0)</f>
        <v>0</v>
      </c>
      <c r="C21" s="339"/>
      <c r="D21" s="275" t="s">
        <v>11</v>
      </c>
      <c r="E21" s="276"/>
      <c r="F21" s="40">
        <f>MROUND(IF(D21=Gegevens!B5,Gegevens!G5,IF(D21=Gegevens!B6,Gegevens!G6,IF(D21=Gegevens!B7,Gegevens!G7,IF(D21=Gegevens!B8,Gegevens!G8,IF(D21=Gegevens!B9,Gegevens!G9,IF(D21=Gegevens!B10,Gegevens!G10,0))))))*B21*E21,100)</f>
        <v>0</v>
      </c>
    </row>
    <row r="22" spans="2:12" ht="15" thickBot="1" x14ac:dyDescent="0.35">
      <c r="B22" s="27"/>
      <c r="C22" s="1"/>
      <c r="E22" s="1"/>
    </row>
    <row r="23" spans="2:12" ht="15" thickBot="1" x14ac:dyDescent="0.35">
      <c r="E23" s="237" t="s">
        <v>21</v>
      </c>
      <c r="F23" s="238">
        <f>F18+F21</f>
        <v>0</v>
      </c>
    </row>
    <row r="42" spans="2:4" x14ac:dyDescent="0.3">
      <c r="D42" s="56"/>
    </row>
    <row r="43" spans="2:4" x14ac:dyDescent="0.3">
      <c r="B43" s="56"/>
      <c r="C43" s="56"/>
      <c r="D43" s="56"/>
    </row>
    <row r="44" spans="2:4" x14ac:dyDescent="0.3">
      <c r="B44" s="56"/>
      <c r="C44" s="56"/>
      <c r="D44" s="56"/>
    </row>
    <row r="45" spans="2:4" x14ac:dyDescent="0.3">
      <c r="B45" s="56"/>
      <c r="C45" s="56"/>
    </row>
    <row r="46" spans="2:4" x14ac:dyDescent="0.3">
      <c r="D46" s="1"/>
    </row>
    <row r="47" spans="2:4" x14ac:dyDescent="0.3">
      <c r="B47" s="1"/>
      <c r="C47" s="1"/>
      <c r="D47" s="1"/>
    </row>
    <row r="48" spans="2:4" x14ac:dyDescent="0.3">
      <c r="B48" s="1"/>
      <c r="C48" s="1"/>
      <c r="D48" s="1"/>
    </row>
    <row r="49" spans="2:3" x14ac:dyDescent="0.3">
      <c r="B49" s="1"/>
      <c r="C49" s="1"/>
    </row>
  </sheetData>
  <sheetProtection sheet="1" objects="1" scenarios="1" selectLockedCells="1"/>
  <mergeCells count="4">
    <mergeCell ref="E8:E12"/>
    <mergeCell ref="B20:C20"/>
    <mergeCell ref="B21:C21"/>
    <mergeCell ref="B4:E5"/>
  </mergeCells>
  <conditionalFormatting sqref="G43">
    <cfRule type="expression" priority="9">
      <formula>"als($E$29=0;'''';''foute HA'')"</formula>
    </cfRule>
  </conditionalFormatting>
  <dataValidations count="2">
    <dataValidation operator="equal" allowBlank="1" showDropDown="1" showInputMessage="1" sqref="G14:G17 G8:G12" xr:uid="{D103A114-0FB3-4EAC-AF52-B42CA263B357}"/>
    <dataValidation type="decimal" operator="greaterThanOrEqual" allowBlank="1" showInputMessage="1" showErrorMessage="1" errorTitle="Fout" error="Typ een getal groter of gelijk aan 0." sqref="C8:D12 C14:E17 E21" xr:uid="{FCDF7784-138C-4FC9-BC9F-404457C18868}">
      <formula1>0</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6</xdr:col>
                    <xdr:colOff>617220</xdr:colOff>
                    <xdr:row>7</xdr:row>
                    <xdr:rowOff>167640</xdr:rowOff>
                  </from>
                  <to>
                    <xdr:col>6</xdr:col>
                    <xdr:colOff>800100</xdr:colOff>
                    <xdr:row>9</xdr:row>
                    <xdr:rowOff>22860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6</xdr:col>
                    <xdr:colOff>617220</xdr:colOff>
                    <xdr:row>6</xdr:row>
                    <xdr:rowOff>167640</xdr:rowOff>
                  </from>
                  <to>
                    <xdr:col>6</xdr:col>
                    <xdr:colOff>800100</xdr:colOff>
                    <xdr:row>8</xdr:row>
                    <xdr:rowOff>22860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6</xdr:col>
                    <xdr:colOff>617220</xdr:colOff>
                    <xdr:row>8</xdr:row>
                    <xdr:rowOff>175260</xdr:rowOff>
                  </from>
                  <to>
                    <xdr:col>6</xdr:col>
                    <xdr:colOff>800100</xdr:colOff>
                    <xdr:row>10</xdr:row>
                    <xdr:rowOff>22860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6</xdr:col>
                    <xdr:colOff>617220</xdr:colOff>
                    <xdr:row>9</xdr:row>
                    <xdr:rowOff>167640</xdr:rowOff>
                  </from>
                  <to>
                    <xdr:col>6</xdr:col>
                    <xdr:colOff>800100</xdr:colOff>
                    <xdr:row>11</xdr:row>
                    <xdr:rowOff>22860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6</xdr:col>
                    <xdr:colOff>617220</xdr:colOff>
                    <xdr:row>10</xdr:row>
                    <xdr:rowOff>167640</xdr:rowOff>
                  </from>
                  <to>
                    <xdr:col>6</xdr:col>
                    <xdr:colOff>800100</xdr:colOff>
                    <xdr:row>12</xdr:row>
                    <xdr:rowOff>22860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6</xdr:col>
                    <xdr:colOff>617220</xdr:colOff>
                    <xdr:row>12</xdr:row>
                    <xdr:rowOff>167640</xdr:rowOff>
                  </from>
                  <to>
                    <xdr:col>6</xdr:col>
                    <xdr:colOff>800100</xdr:colOff>
                    <xdr:row>14</xdr:row>
                    <xdr:rowOff>22860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6</xdr:col>
                    <xdr:colOff>617220</xdr:colOff>
                    <xdr:row>13</xdr:row>
                    <xdr:rowOff>167640</xdr:rowOff>
                  </from>
                  <to>
                    <xdr:col>6</xdr:col>
                    <xdr:colOff>800100</xdr:colOff>
                    <xdr:row>15</xdr:row>
                    <xdr:rowOff>22860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6</xdr:col>
                    <xdr:colOff>617220</xdr:colOff>
                    <xdr:row>14</xdr:row>
                    <xdr:rowOff>167640</xdr:rowOff>
                  </from>
                  <to>
                    <xdr:col>6</xdr:col>
                    <xdr:colOff>800100</xdr:colOff>
                    <xdr:row>16</xdr:row>
                    <xdr:rowOff>22860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6</xdr:col>
                    <xdr:colOff>617220</xdr:colOff>
                    <xdr:row>15</xdr:row>
                    <xdr:rowOff>167640</xdr:rowOff>
                  </from>
                  <to>
                    <xdr:col>6</xdr:col>
                    <xdr:colOff>800100</xdr:colOff>
                    <xdr:row>17</xdr:row>
                    <xdr:rowOff>22860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384AD58-362E-405E-8615-3299E367A557}">
          <x14:formula1>
            <xm:f>Gegevens!$B$4:$B$10</xm:f>
          </x14:formula1>
          <xm:sqref>D21</xm:sqref>
        </x14:dataValidation>
      </x14:dataValidations>
    </ext>
  </extLst>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9ED48-8AE9-477E-A36E-55E3AB7DC87B}">
  <sheetPr codeName="Blad10">
    <tabColor theme="8" tint="0.59999389629810485"/>
  </sheetPr>
  <dimension ref="B2:H37"/>
  <sheetViews>
    <sheetView showGridLines="0" zoomScale="80" zoomScaleNormal="80" workbookViewId="0">
      <selection activeCell="D10" sqref="D10"/>
    </sheetView>
  </sheetViews>
  <sheetFormatPr defaultRowHeight="14.4" x14ac:dyDescent="0.3"/>
  <cols>
    <col min="1" max="1" width="2.77734375" customWidth="1"/>
    <col min="2" max="2" width="30.5546875" customWidth="1"/>
    <col min="3" max="4" width="16.77734375" customWidth="1"/>
    <col min="5" max="5" width="2.6640625" customWidth="1"/>
    <col min="7" max="7" width="21.44140625" customWidth="1"/>
    <col min="8" max="8" width="8.77734375" customWidth="1"/>
  </cols>
  <sheetData>
    <row r="2" spans="2:8" x14ac:dyDescent="0.3">
      <c r="B2" s="456" t="s">
        <v>231</v>
      </c>
      <c r="C2" s="456"/>
      <c r="D2" s="456"/>
    </row>
    <row r="3" spans="2:8" x14ac:dyDescent="0.3">
      <c r="B3" s="456"/>
      <c r="C3" s="456"/>
      <c r="D3" s="456"/>
    </row>
    <row r="5" spans="2:8" x14ac:dyDescent="0.3">
      <c r="B5" s="277">
        <v>1</v>
      </c>
    </row>
    <row r="6" spans="2:8" x14ac:dyDescent="0.3">
      <c r="B6" s="240"/>
    </row>
    <row r="8" spans="2:8" x14ac:dyDescent="0.3">
      <c r="B8" s="193"/>
      <c r="C8" s="220" t="s">
        <v>101</v>
      </c>
      <c r="D8" s="220" t="s">
        <v>102</v>
      </c>
      <c r="H8" s="25"/>
    </row>
    <row r="9" spans="2:8" x14ac:dyDescent="0.3">
      <c r="B9" s="11" t="s">
        <v>103</v>
      </c>
      <c r="C9" s="44">
        <f>Gegevens!C44</f>
        <v>16500</v>
      </c>
      <c r="D9" s="294"/>
      <c r="G9" s="107"/>
    </row>
    <row r="10" spans="2:8" x14ac:dyDescent="0.3">
      <c r="B10" s="11" t="s">
        <v>104</v>
      </c>
      <c r="C10" s="44">
        <f>Gegevens!C45</f>
        <v>980</v>
      </c>
      <c r="D10" s="295"/>
      <c r="G10" s="108"/>
    </row>
    <row r="11" spans="2:8" x14ac:dyDescent="0.3">
      <c r="B11" s="11" t="s">
        <v>105</v>
      </c>
      <c r="C11" s="44">
        <f>Gegevens!C46</f>
        <v>52</v>
      </c>
      <c r="D11" s="272"/>
      <c r="G11" s="108"/>
    </row>
    <row r="13" spans="2:8" x14ac:dyDescent="0.3">
      <c r="B13" s="193" t="s">
        <v>127</v>
      </c>
      <c r="C13" s="211" t="s">
        <v>107</v>
      </c>
      <c r="D13" s="211" t="s">
        <v>102</v>
      </c>
    </row>
    <row r="14" spans="2:8" x14ac:dyDescent="0.3">
      <c r="B14" s="11" t="s">
        <v>129</v>
      </c>
      <c r="C14" s="48">
        <f>Gegevens!C49</f>
        <v>197</v>
      </c>
      <c r="D14" s="285"/>
    </row>
    <row r="15" spans="2:8" x14ac:dyDescent="0.3">
      <c r="B15" s="11" t="s">
        <v>110</v>
      </c>
      <c r="C15" s="48">
        <f>Gegevens!C50</f>
        <v>80</v>
      </c>
      <c r="D15" s="285"/>
    </row>
    <row r="16" spans="2:8" x14ac:dyDescent="0.3">
      <c r="B16" s="11" t="s">
        <v>111</v>
      </c>
      <c r="C16" s="48">
        <f>Gegevens!C51</f>
        <v>225</v>
      </c>
      <c r="D16" s="285"/>
    </row>
    <row r="17" spans="2:6" x14ac:dyDescent="0.3">
      <c r="B17" s="193" t="s">
        <v>113</v>
      </c>
      <c r="C17" s="195">
        <f>Gegevens!C52</f>
        <v>502</v>
      </c>
      <c r="D17" s="195">
        <f>IF(D14=0,C14,D14)+IF(D15=0,C15,D15)+IF(D16=0,C16,D16)</f>
        <v>502</v>
      </c>
    </row>
    <row r="19" spans="2:6" x14ac:dyDescent="0.3">
      <c r="B19" s="193" t="s">
        <v>114</v>
      </c>
      <c r="C19" s="193"/>
      <c r="D19" s="193"/>
    </row>
    <row r="20" spans="2:6" x14ac:dyDescent="0.3">
      <c r="B20" s="11" t="s">
        <v>115</v>
      </c>
      <c r="C20" s="48">
        <f>Gegevens!C55</f>
        <v>125</v>
      </c>
      <c r="D20" s="285"/>
    </row>
    <row r="21" spans="2:6" x14ac:dyDescent="0.3">
      <c r="B21" s="11" t="s">
        <v>116</v>
      </c>
      <c r="C21" s="48">
        <f>Gegevens!C56</f>
        <v>41</v>
      </c>
      <c r="D21" s="285"/>
    </row>
    <row r="22" spans="2:6" x14ac:dyDescent="0.3">
      <c r="B22" s="11" t="s">
        <v>117</v>
      </c>
      <c r="C22" s="48">
        <f>Gegevens!C57</f>
        <v>25</v>
      </c>
      <c r="D22" s="285"/>
    </row>
    <row r="23" spans="2:6" x14ac:dyDescent="0.3">
      <c r="B23" s="193" t="s">
        <v>113</v>
      </c>
      <c r="C23" s="195">
        <f>Gegevens!C58</f>
        <v>191</v>
      </c>
      <c r="D23" s="195">
        <f>IF(D20=0,C20,D20)+IF(D21=0,C21,D21)+IF(D22=0,C22,D22)</f>
        <v>191</v>
      </c>
    </row>
    <row r="25" spans="2:6" x14ac:dyDescent="0.3">
      <c r="B25" s="193" t="s">
        <v>118</v>
      </c>
      <c r="C25" s="193"/>
      <c r="D25" s="193"/>
    </row>
    <row r="26" spans="2:6" x14ac:dyDescent="0.3">
      <c r="B26" s="11" t="s">
        <v>130</v>
      </c>
      <c r="C26" s="48">
        <f>Gegevens!C61</f>
        <v>40</v>
      </c>
      <c r="D26" s="285"/>
    </row>
    <row r="27" spans="2:6" x14ac:dyDescent="0.3">
      <c r="B27" s="11" t="s">
        <v>131</v>
      </c>
      <c r="C27" s="48">
        <f>Gegevens!C62</f>
        <v>76</v>
      </c>
      <c r="D27" s="285"/>
    </row>
    <row r="28" spans="2:6" x14ac:dyDescent="0.3">
      <c r="B28" s="193" t="s">
        <v>113</v>
      </c>
      <c r="C28" s="195">
        <f>Gegevens!C63</f>
        <v>116</v>
      </c>
      <c r="D28" s="195">
        <f>IF(D26=0,C26,D26)+IF(D27=0,C27,D27)</f>
        <v>116</v>
      </c>
    </row>
    <row r="30" spans="2:6" x14ac:dyDescent="0.3">
      <c r="B30" s="193" t="s">
        <v>121</v>
      </c>
      <c r="C30" s="193"/>
      <c r="D30" s="193"/>
    </row>
    <row r="31" spans="2:6" x14ac:dyDescent="0.3">
      <c r="B31" s="11" t="s">
        <v>132</v>
      </c>
      <c r="C31" s="48">
        <f>Gegevens!C66</f>
        <v>420</v>
      </c>
      <c r="D31" s="285"/>
      <c r="F31" t="s">
        <v>55</v>
      </c>
    </row>
    <row r="32" spans="2:6" x14ac:dyDescent="0.3">
      <c r="B32" s="11" t="s">
        <v>124</v>
      </c>
      <c r="C32" s="48">
        <f>Gegevens!C67</f>
        <v>0</v>
      </c>
      <c r="D32" s="285"/>
    </row>
    <row r="33" spans="2:4" x14ac:dyDescent="0.3">
      <c r="B33" s="193" t="s">
        <v>113</v>
      </c>
      <c r="C33" s="195">
        <f>Gegevens!C68</f>
        <v>420</v>
      </c>
      <c r="D33" s="195">
        <f>IF(D31=0,C31,D31)+IF(D32=0,C32,D32)</f>
        <v>420</v>
      </c>
    </row>
    <row r="35" spans="2:4" x14ac:dyDescent="0.3">
      <c r="B35" s="11" t="s">
        <v>7</v>
      </c>
      <c r="C35" s="48">
        <f>C33+C28+C23+C17</f>
        <v>1229</v>
      </c>
      <c r="D35" s="48">
        <f>D33+D28+D23+D17</f>
        <v>1229</v>
      </c>
    </row>
    <row r="36" spans="2:4" x14ac:dyDescent="0.3">
      <c r="B36" s="11" t="s">
        <v>125</v>
      </c>
      <c r="C36" s="47">
        <f>IF(C9=0,0,C35/C9)</f>
        <v>7.4484848484848487E-2</v>
      </c>
      <c r="D36" s="47">
        <f>IF(D9=0,D35/C9,D35/D9)</f>
        <v>7.4484848484848487E-2</v>
      </c>
    </row>
    <row r="37" spans="2:4" x14ac:dyDescent="0.3">
      <c r="B37" s="11" t="s">
        <v>126</v>
      </c>
      <c r="C37" s="47">
        <f>IF(C9=0,0,IF(C10=0,0,C35/(C9*C10/1000)))</f>
        <v>7.6004947433518863E-2</v>
      </c>
      <c r="D37" s="47">
        <f>IF(D9=0,IF(D10=0,D35/(C9*C10),D35/C9*D10),IF(D10=0,D35/(D9*C10),D35/D9*D10))*1000</f>
        <v>7.6004947433518863E-2</v>
      </c>
    </row>
  </sheetData>
  <sheetProtection sheet="1" objects="1" scenarios="1" selectLockedCells="1"/>
  <mergeCells count="1">
    <mergeCell ref="B2:D3"/>
  </mergeCells>
  <conditionalFormatting sqref="G10:G11">
    <cfRule type="expression" dxfId="78" priority="2">
      <formula>"als($I$2=WAAR;;)"</formula>
    </cfRule>
  </conditionalFormatting>
  <conditionalFormatting sqref="G10:G11">
    <cfRule type="expression" dxfId="77" priority="1">
      <formula>$I$5=TRUE</formula>
    </cfRule>
  </conditionalFormatting>
  <conditionalFormatting sqref="D8:D37">
    <cfRule type="expression" dxfId="76" priority="81">
      <formula>$B$5=1</formula>
    </cfRule>
  </conditionalFormatting>
  <conditionalFormatting sqref="D9:D11 D14:D37">
    <cfRule type="expression" dxfId="75" priority="82">
      <formula>$B$5=1</formula>
    </cfRule>
  </conditionalFormatting>
  <dataValidations count="1">
    <dataValidation type="decimal" operator="greaterThanOrEqual" allowBlank="1" showInputMessage="1" showErrorMessage="1" errorTitle="Fout" error="Typ een getal groter of gelijk aan 0." sqref="D31:D32 D26:D27 D20:D22 D14:D16 D10 D9 D11" xr:uid="{7A7BBE89-12A6-480D-911B-4209D3B92ADE}">
      <formula1>0</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Option Button 1">
              <controlPr defaultSize="0" autoFill="0" autoLine="0" autoPict="0">
                <anchor moveWithCells="1">
                  <from>
                    <xdr:col>1</xdr:col>
                    <xdr:colOff>0</xdr:colOff>
                    <xdr:row>4</xdr:row>
                    <xdr:rowOff>0</xdr:rowOff>
                  </from>
                  <to>
                    <xdr:col>2</xdr:col>
                    <xdr:colOff>0</xdr:colOff>
                    <xdr:row>5</xdr:row>
                    <xdr:rowOff>0</xdr:rowOff>
                  </to>
                </anchor>
              </controlPr>
            </control>
          </mc:Choice>
        </mc:AlternateContent>
        <mc:AlternateContent xmlns:mc="http://schemas.openxmlformats.org/markup-compatibility/2006">
          <mc:Choice Requires="x14">
            <control shapeId="20482" r:id="rId5" name="Option Button 2">
              <controlPr defaultSize="0" autoFill="0" autoLine="0" autoPict="0">
                <anchor moveWithCells="1">
                  <from>
                    <xdr:col>1</xdr:col>
                    <xdr:colOff>0</xdr:colOff>
                    <xdr:row>5</xdr:row>
                    <xdr:rowOff>0</xdr:rowOff>
                  </from>
                  <to>
                    <xdr:col>2</xdr:col>
                    <xdr:colOff>0</xdr:colOff>
                    <xdr:row>6</xdr:row>
                    <xdr:rowOff>0</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A16422-0A86-4FC1-87EF-B1D6EFADA27B}">
  <sheetPr codeName="Blad11">
    <tabColor theme="8" tint="0.59999389629810485"/>
  </sheetPr>
  <dimension ref="B2:G37"/>
  <sheetViews>
    <sheetView showGridLines="0" zoomScale="80" zoomScaleNormal="80" workbookViewId="0">
      <selection activeCell="D9" sqref="D9"/>
    </sheetView>
  </sheetViews>
  <sheetFormatPr defaultRowHeight="14.4" x14ac:dyDescent="0.3"/>
  <cols>
    <col min="1" max="1" width="2.77734375" customWidth="1"/>
    <col min="2" max="2" width="30.5546875" customWidth="1"/>
    <col min="3" max="4" width="16.77734375" customWidth="1"/>
    <col min="5" max="5" width="2.77734375" customWidth="1"/>
  </cols>
  <sheetData>
    <row r="2" spans="2:7" x14ac:dyDescent="0.3">
      <c r="B2" s="456" t="s">
        <v>230</v>
      </c>
      <c r="C2" s="456"/>
      <c r="D2" s="456"/>
    </row>
    <row r="3" spans="2:7" x14ac:dyDescent="0.3">
      <c r="B3" s="456"/>
      <c r="C3" s="456"/>
      <c r="D3" s="456"/>
    </row>
    <row r="5" spans="2:7" x14ac:dyDescent="0.3">
      <c r="B5" s="277">
        <v>1</v>
      </c>
    </row>
    <row r="6" spans="2:7" x14ac:dyDescent="0.3">
      <c r="B6" s="240"/>
    </row>
    <row r="8" spans="2:7" x14ac:dyDescent="0.3">
      <c r="B8" s="193"/>
      <c r="C8" s="220" t="s">
        <v>101</v>
      </c>
      <c r="D8" s="220" t="s">
        <v>102</v>
      </c>
    </row>
    <row r="9" spans="2:7" x14ac:dyDescent="0.3">
      <c r="B9" s="11" t="s">
        <v>103</v>
      </c>
      <c r="C9" s="44">
        <f>Gegevens!D44</f>
        <v>17000</v>
      </c>
      <c r="D9" s="287"/>
      <c r="G9" s="108"/>
    </row>
    <row r="10" spans="2:7" x14ac:dyDescent="0.3">
      <c r="B10" s="11" t="s">
        <v>104</v>
      </c>
      <c r="C10" s="24">
        <f>Gegevens!D45</f>
        <v>1100</v>
      </c>
      <c r="D10" s="284"/>
      <c r="G10" s="107"/>
    </row>
    <row r="11" spans="2:7" x14ac:dyDescent="0.3">
      <c r="B11" s="11" t="s">
        <v>105</v>
      </c>
      <c r="C11" s="44">
        <f>Gegevens!D46</f>
        <v>100</v>
      </c>
      <c r="D11" s="280"/>
      <c r="G11" s="107"/>
    </row>
    <row r="13" spans="2:7" x14ac:dyDescent="0.3">
      <c r="B13" s="193" t="s">
        <v>127</v>
      </c>
      <c r="C13" s="211" t="s">
        <v>107</v>
      </c>
      <c r="D13" s="211" t="s">
        <v>102</v>
      </c>
    </row>
    <row r="14" spans="2:7" x14ac:dyDescent="0.3">
      <c r="B14" s="11" t="s">
        <v>129</v>
      </c>
      <c r="C14" s="48">
        <f>Gegevens!D49</f>
        <v>197</v>
      </c>
      <c r="D14" s="285"/>
    </row>
    <row r="15" spans="2:7" x14ac:dyDescent="0.3">
      <c r="B15" s="11" t="s">
        <v>110</v>
      </c>
      <c r="C15" s="48">
        <f>Gegevens!D50</f>
        <v>75</v>
      </c>
      <c r="D15" s="285"/>
    </row>
    <row r="16" spans="2:7" x14ac:dyDescent="0.3">
      <c r="B16" s="11" t="s">
        <v>111</v>
      </c>
      <c r="C16" s="48">
        <f>Gegevens!D51</f>
        <v>300</v>
      </c>
      <c r="D16" s="285"/>
    </row>
    <row r="17" spans="2:6" x14ac:dyDescent="0.3">
      <c r="B17" s="193" t="s">
        <v>113</v>
      </c>
      <c r="C17" s="195">
        <f>Gegevens!D52</f>
        <v>572</v>
      </c>
      <c r="D17" s="195">
        <f>IF(D14=0,C14,D14)+IF(D15=0,C15,D15)+IF(D16=0,C16,D16)</f>
        <v>572</v>
      </c>
    </row>
    <row r="19" spans="2:6" x14ac:dyDescent="0.3">
      <c r="B19" s="193" t="s">
        <v>114</v>
      </c>
      <c r="C19" s="193"/>
      <c r="D19" s="193"/>
    </row>
    <row r="20" spans="2:6" x14ac:dyDescent="0.3">
      <c r="B20" s="11" t="s">
        <v>115</v>
      </c>
      <c r="C20" s="48">
        <f>Gegevens!D55</f>
        <v>140</v>
      </c>
      <c r="D20" s="285"/>
    </row>
    <row r="21" spans="2:6" x14ac:dyDescent="0.3">
      <c r="B21" s="11" t="s">
        <v>116</v>
      </c>
      <c r="C21" s="48">
        <f>Gegevens!D56</f>
        <v>85</v>
      </c>
      <c r="D21" s="285"/>
    </row>
    <row r="22" spans="2:6" x14ac:dyDescent="0.3">
      <c r="B22" s="11" t="s">
        <v>117</v>
      </c>
      <c r="C22" s="48">
        <f>Gegevens!D57</f>
        <v>25</v>
      </c>
      <c r="D22" s="285"/>
    </row>
    <row r="23" spans="2:6" x14ac:dyDescent="0.3">
      <c r="B23" s="193" t="s">
        <v>113</v>
      </c>
      <c r="C23" s="195">
        <f>Gegevens!D58</f>
        <v>250</v>
      </c>
      <c r="D23" s="195">
        <f>IF(D20=0,C20,D20)+IF(D21=0,C21,D21)+IF(D22=0,C22,D22)</f>
        <v>250</v>
      </c>
    </row>
    <row r="25" spans="2:6" x14ac:dyDescent="0.3">
      <c r="B25" s="193" t="s">
        <v>118</v>
      </c>
      <c r="C25" s="193"/>
      <c r="D25" s="193"/>
    </row>
    <row r="26" spans="2:6" x14ac:dyDescent="0.3">
      <c r="B26" s="11" t="s">
        <v>130</v>
      </c>
      <c r="C26" s="48">
        <f>Gegevens!D61</f>
        <v>200</v>
      </c>
      <c r="D26" s="285"/>
    </row>
    <row r="27" spans="2:6" x14ac:dyDescent="0.3">
      <c r="B27" s="11" t="s">
        <v>131</v>
      </c>
      <c r="C27" s="48">
        <f>Gegevens!D62</f>
        <v>436</v>
      </c>
      <c r="D27" s="285"/>
    </row>
    <row r="28" spans="2:6" x14ac:dyDescent="0.3">
      <c r="B28" s="193" t="s">
        <v>113</v>
      </c>
      <c r="C28" s="195">
        <f>Gegevens!D63</f>
        <v>636</v>
      </c>
      <c r="D28" s="195">
        <f>IF(D26=0,C26,D26)+IF(D27=0,C27,D27)</f>
        <v>636</v>
      </c>
    </row>
    <row r="30" spans="2:6" x14ac:dyDescent="0.3">
      <c r="B30" s="193" t="s">
        <v>121</v>
      </c>
      <c r="C30" s="193"/>
      <c r="D30" s="193"/>
    </row>
    <row r="31" spans="2:6" x14ac:dyDescent="0.3">
      <c r="B31" s="11" t="s">
        <v>121</v>
      </c>
      <c r="C31" s="48">
        <f>Gegevens!D66</f>
        <v>400</v>
      </c>
      <c r="D31" s="285"/>
      <c r="F31" t="s">
        <v>55</v>
      </c>
    </row>
    <row r="32" spans="2:6" x14ac:dyDescent="0.3">
      <c r="B32" s="11" t="s">
        <v>124</v>
      </c>
      <c r="C32" s="48">
        <f>Gegevens!D67</f>
        <v>0</v>
      </c>
      <c r="D32" s="285"/>
    </row>
    <row r="33" spans="2:4" x14ac:dyDescent="0.3">
      <c r="B33" s="193" t="s">
        <v>113</v>
      </c>
      <c r="C33" s="195">
        <f>Gegevens!D68</f>
        <v>400</v>
      </c>
      <c r="D33" s="195">
        <f>IF(D31=0,C31,D31)+IF(D32=0,C32,D32)</f>
        <v>400</v>
      </c>
    </row>
    <row r="35" spans="2:4" x14ac:dyDescent="0.3">
      <c r="B35" s="11" t="s">
        <v>7</v>
      </c>
      <c r="C35" s="48">
        <f>C33+C28+C23+C17</f>
        <v>1858</v>
      </c>
      <c r="D35" s="48">
        <f>D33+D28+D23+D17</f>
        <v>1858</v>
      </c>
    </row>
    <row r="36" spans="2:4" x14ac:dyDescent="0.3">
      <c r="B36" s="11" t="s">
        <v>125</v>
      </c>
      <c r="C36" s="47">
        <f>IF(C9=0,0,C35/C9)</f>
        <v>0.10929411764705882</v>
      </c>
      <c r="D36" s="47">
        <f>IF(D9=0,D35/C9,D35/D9)</f>
        <v>0.10929411764705882</v>
      </c>
    </row>
    <row r="37" spans="2:4" x14ac:dyDescent="0.3">
      <c r="B37" s="11" t="s">
        <v>126</v>
      </c>
      <c r="C37" s="47">
        <f>IF(C9=0,0,IF(C10=0,0,C35/(C9*C10/1000)))</f>
        <v>9.9358288770053482E-2</v>
      </c>
      <c r="D37" s="47">
        <f>IF(D9=0,IF(D10=0,D35/(C9*C10),D35/C9*D10),IF(D10=0,D35/(D9*C10),D35/D9*D10))*1000</f>
        <v>9.9358288770053482E-2</v>
      </c>
    </row>
  </sheetData>
  <sheetProtection sheet="1" objects="1" scenarios="1" selectLockedCells="1"/>
  <mergeCells count="1">
    <mergeCell ref="B2:D3"/>
  </mergeCells>
  <conditionalFormatting sqref="G9">
    <cfRule type="expression" dxfId="74" priority="2">
      <formula>"als($I$2=WAAR;;)"</formula>
    </cfRule>
  </conditionalFormatting>
  <conditionalFormatting sqref="G9">
    <cfRule type="expression" dxfId="73" priority="1">
      <formula>$I$5=TRUE</formula>
    </cfRule>
  </conditionalFormatting>
  <conditionalFormatting sqref="D8:D37">
    <cfRule type="expression" dxfId="72" priority="83">
      <formula>$B$5=1</formula>
    </cfRule>
  </conditionalFormatting>
  <conditionalFormatting sqref="D14:D37 D9:D11">
    <cfRule type="expression" dxfId="71" priority="84">
      <formula>$B$5=1</formula>
    </cfRule>
  </conditionalFormatting>
  <dataValidations count="1">
    <dataValidation type="decimal" operator="greaterThanOrEqual" allowBlank="1" showInputMessage="1" showErrorMessage="1" errorTitle="Fout" error="Typ een getal groter of gelijk aan 0." sqref="D9:D11 D14:D16 D20:D22 D26 D27 D31:D32" xr:uid="{611D0B77-3383-438D-9776-292720F99A0A}">
      <formula1>0</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Option Button 1">
              <controlPr defaultSize="0" autoFill="0" autoLine="0" autoPict="0">
                <anchor moveWithCells="1">
                  <from>
                    <xdr:col>1</xdr:col>
                    <xdr:colOff>0</xdr:colOff>
                    <xdr:row>4</xdr:row>
                    <xdr:rowOff>0</xdr:rowOff>
                  </from>
                  <to>
                    <xdr:col>2</xdr:col>
                    <xdr:colOff>0</xdr:colOff>
                    <xdr:row>5</xdr:row>
                    <xdr:rowOff>0</xdr:rowOff>
                  </to>
                </anchor>
              </controlPr>
            </control>
          </mc:Choice>
        </mc:AlternateContent>
        <mc:AlternateContent xmlns:mc="http://schemas.openxmlformats.org/markup-compatibility/2006">
          <mc:Choice Requires="x14">
            <control shapeId="28674" r:id="rId5" name="Option Button 2">
              <controlPr defaultSize="0" autoFill="0" autoLine="0" autoPict="0">
                <anchor moveWithCells="1">
                  <from>
                    <xdr:col>1</xdr:col>
                    <xdr:colOff>0</xdr:colOff>
                    <xdr:row>5</xdr:row>
                    <xdr:rowOff>0</xdr:rowOff>
                  </from>
                  <to>
                    <xdr:col>2</xdr:col>
                    <xdr:colOff>0</xdr:colOff>
                    <xdr:row>6</xdr:row>
                    <xdr:rowOff>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FB669-C5DD-417A-804A-32AE07A62E9A}">
  <sheetPr codeName="Blad14">
    <tabColor theme="8" tint="0.59999389629810485"/>
  </sheetPr>
  <dimension ref="B2:F37"/>
  <sheetViews>
    <sheetView showGridLines="0" zoomScale="80" zoomScaleNormal="80" workbookViewId="0">
      <selection activeCell="D31" sqref="D31"/>
    </sheetView>
  </sheetViews>
  <sheetFormatPr defaultRowHeight="14.4" x14ac:dyDescent="0.3"/>
  <cols>
    <col min="1" max="1" width="2.77734375" customWidth="1"/>
    <col min="2" max="2" width="30.5546875" customWidth="1"/>
    <col min="3" max="4" width="16.77734375" customWidth="1"/>
    <col min="5" max="5" width="2.6640625" customWidth="1"/>
  </cols>
  <sheetData>
    <row r="2" spans="2:5" x14ac:dyDescent="0.3">
      <c r="B2" s="456" t="s">
        <v>229</v>
      </c>
      <c r="C2" s="456"/>
      <c r="D2" s="456"/>
    </row>
    <row r="3" spans="2:5" x14ac:dyDescent="0.3">
      <c r="B3" s="456"/>
      <c r="C3" s="456"/>
      <c r="D3" s="456"/>
    </row>
    <row r="5" spans="2:5" x14ac:dyDescent="0.3">
      <c r="B5" s="277">
        <v>1</v>
      </c>
    </row>
    <row r="6" spans="2:5" x14ac:dyDescent="0.3">
      <c r="B6" s="240"/>
    </row>
    <row r="8" spans="2:5" x14ac:dyDescent="0.3">
      <c r="B8" s="193"/>
      <c r="C8" s="220" t="s">
        <v>101</v>
      </c>
      <c r="D8" s="220" t="s">
        <v>102</v>
      </c>
    </row>
    <row r="9" spans="2:5" x14ac:dyDescent="0.3">
      <c r="B9" s="11" t="s">
        <v>103</v>
      </c>
      <c r="C9" s="88">
        <f>Gegevens!E44</f>
        <v>11500</v>
      </c>
      <c r="D9" s="296"/>
    </row>
    <row r="10" spans="2:5" x14ac:dyDescent="0.3">
      <c r="B10" s="11" t="s">
        <v>104</v>
      </c>
      <c r="C10" s="88">
        <f>Gegevens!E45</f>
        <v>869</v>
      </c>
      <c r="D10" s="296"/>
    </row>
    <row r="11" spans="2:5" x14ac:dyDescent="0.3">
      <c r="B11" s="11" t="s">
        <v>105</v>
      </c>
      <c r="C11" s="88">
        <f>Gegevens!E46</f>
        <v>67</v>
      </c>
      <c r="D11" s="296"/>
    </row>
    <row r="13" spans="2:5" x14ac:dyDescent="0.3">
      <c r="B13" s="193" t="s">
        <v>127</v>
      </c>
      <c r="C13" s="211" t="s">
        <v>107</v>
      </c>
      <c r="D13" s="211" t="s">
        <v>102</v>
      </c>
    </row>
    <row r="14" spans="2:5" x14ac:dyDescent="0.3">
      <c r="B14" s="11" t="s">
        <v>129</v>
      </c>
      <c r="C14" s="48">
        <f>Gegevens!E49</f>
        <v>197</v>
      </c>
      <c r="D14" s="285"/>
    </row>
    <row r="15" spans="2:5" x14ac:dyDescent="0.3">
      <c r="B15" s="11" t="s">
        <v>110</v>
      </c>
      <c r="C15" s="48">
        <f>Gegevens!E50</f>
        <v>80</v>
      </c>
      <c r="D15" s="285"/>
    </row>
    <row r="16" spans="2:5" x14ac:dyDescent="0.3">
      <c r="B16" s="11" t="s">
        <v>111</v>
      </c>
      <c r="C16" s="48">
        <f>Gegevens!E51</f>
        <v>118</v>
      </c>
      <c r="D16" s="285"/>
    </row>
    <row r="17" spans="2:6" x14ac:dyDescent="0.3">
      <c r="B17" s="193" t="s">
        <v>113</v>
      </c>
      <c r="C17" s="195">
        <f>Gegevens!E52</f>
        <v>395</v>
      </c>
      <c r="D17" s="195">
        <f>IF(D14=0,C14,D14)+IF(D15=0,C15,D15)+IF(D16=0,C16,D16)</f>
        <v>395</v>
      </c>
    </row>
    <row r="19" spans="2:6" x14ac:dyDescent="0.3">
      <c r="B19" s="193" t="s">
        <v>114</v>
      </c>
      <c r="C19" s="193"/>
      <c r="D19" s="193"/>
    </row>
    <row r="20" spans="2:6" x14ac:dyDescent="0.3">
      <c r="B20" s="11" t="s">
        <v>115</v>
      </c>
      <c r="C20" s="48">
        <f>Gegevens!E55</f>
        <v>97</v>
      </c>
      <c r="D20" s="285"/>
    </row>
    <row r="21" spans="2:6" x14ac:dyDescent="0.3">
      <c r="B21" s="11" t="s">
        <v>116</v>
      </c>
      <c r="C21" s="48">
        <f>Gegevens!E56</f>
        <v>31</v>
      </c>
      <c r="D21" s="285"/>
    </row>
    <row r="22" spans="2:6" x14ac:dyDescent="0.3">
      <c r="B22" s="11" t="s">
        <v>117</v>
      </c>
      <c r="C22" s="48">
        <f>Gegevens!E57</f>
        <v>25</v>
      </c>
      <c r="D22" s="285"/>
    </row>
    <row r="23" spans="2:6" x14ac:dyDescent="0.3">
      <c r="B23" s="193" t="s">
        <v>113</v>
      </c>
      <c r="C23" s="195">
        <f>Gegevens!E58</f>
        <v>153</v>
      </c>
      <c r="D23" s="195">
        <f>IF(D20=0,C20,D20)+IF(D21=0,C21,D21)+IF(D22=0,C22,D22)</f>
        <v>153</v>
      </c>
    </row>
    <row r="25" spans="2:6" x14ac:dyDescent="0.3">
      <c r="B25" s="193" t="s">
        <v>118</v>
      </c>
      <c r="C25" s="193"/>
      <c r="D25" s="193"/>
    </row>
    <row r="26" spans="2:6" x14ac:dyDescent="0.3">
      <c r="B26" s="11" t="s">
        <v>130</v>
      </c>
      <c r="C26" s="48">
        <f>Gegevens!E61</f>
        <v>40</v>
      </c>
      <c r="D26" s="285"/>
    </row>
    <row r="27" spans="2:6" x14ac:dyDescent="0.3">
      <c r="B27" s="11" t="s">
        <v>131</v>
      </c>
      <c r="C27" s="48">
        <f>Gegevens!E62</f>
        <v>28</v>
      </c>
      <c r="D27" s="285"/>
    </row>
    <row r="28" spans="2:6" x14ac:dyDescent="0.3">
      <c r="B28" s="193" t="s">
        <v>113</v>
      </c>
      <c r="C28" s="195">
        <f>Gegevens!E63</f>
        <v>68</v>
      </c>
      <c r="D28" s="195">
        <f>IF(D26=0,C26,D26)+IF(D27=0,C27,D27)</f>
        <v>68</v>
      </c>
    </row>
    <row r="30" spans="2:6" x14ac:dyDescent="0.3">
      <c r="B30" s="193" t="s">
        <v>121</v>
      </c>
      <c r="C30" s="193"/>
      <c r="D30" s="193"/>
    </row>
    <row r="31" spans="2:6" x14ac:dyDescent="0.3">
      <c r="B31" s="11" t="s">
        <v>121</v>
      </c>
      <c r="C31" s="48">
        <f>Gegevens!E66</f>
        <v>420</v>
      </c>
      <c r="D31" s="285"/>
      <c r="F31" t="s">
        <v>55</v>
      </c>
    </row>
    <row r="32" spans="2:6" x14ac:dyDescent="0.3">
      <c r="B32" s="11" t="s">
        <v>124</v>
      </c>
      <c r="C32" s="48">
        <f>Gegevens!E67</f>
        <v>0</v>
      </c>
      <c r="D32" s="285"/>
    </row>
    <row r="33" spans="2:4" x14ac:dyDescent="0.3">
      <c r="B33" s="193" t="s">
        <v>113</v>
      </c>
      <c r="C33" s="195">
        <f>Gegevens!E68</f>
        <v>420</v>
      </c>
      <c r="D33" s="195">
        <f>IF(D31=0,C31,D31)+IF(D32=0,C32,D32)</f>
        <v>420</v>
      </c>
    </row>
    <row r="35" spans="2:4" x14ac:dyDescent="0.3">
      <c r="B35" s="11" t="s">
        <v>7</v>
      </c>
      <c r="C35" s="48">
        <f>C33+C28+C23+C17</f>
        <v>1036</v>
      </c>
      <c r="D35" s="48">
        <f>D33+D28+D23+D17</f>
        <v>1036</v>
      </c>
    </row>
    <row r="36" spans="2:4" x14ac:dyDescent="0.3">
      <c r="B36" s="11" t="s">
        <v>125</v>
      </c>
      <c r="C36" s="47">
        <f>IF(C9=0,0,C35/C9)</f>
        <v>9.0086956521739134E-2</v>
      </c>
      <c r="D36" s="47">
        <f>IF(D9=0,D35/C9,D35/D9)</f>
        <v>9.0086956521739134E-2</v>
      </c>
    </row>
    <row r="37" spans="2:4" x14ac:dyDescent="0.3">
      <c r="B37" s="11" t="s">
        <v>126</v>
      </c>
      <c r="C37" s="47">
        <f>IF(C9=0,0,IF(C10=0,0,C35/(C9*C10/1000)))</f>
        <v>0.10366738379946966</v>
      </c>
      <c r="D37" s="47">
        <f>IF(D9=0,IF(D10=0,D35/(C9*C10),D35/C9*D10),IF(D10=0,D35/(D9*C10),D35/D9*D10))*1000</f>
        <v>0.10366738379946966</v>
      </c>
    </row>
  </sheetData>
  <sheetProtection sheet="1" objects="1" scenarios="1" selectLockedCells="1"/>
  <mergeCells count="1">
    <mergeCell ref="B2:D3"/>
  </mergeCells>
  <conditionalFormatting sqref="D8:D37">
    <cfRule type="expression" dxfId="70" priority="85">
      <formula>$B$5=1</formula>
    </cfRule>
  </conditionalFormatting>
  <conditionalFormatting sqref="D14:D37 D9:D11">
    <cfRule type="expression" dxfId="69" priority="86">
      <formula>$B$5=1</formula>
    </cfRule>
  </conditionalFormatting>
  <dataValidations count="1">
    <dataValidation type="decimal" operator="greaterThanOrEqual" allowBlank="1" showInputMessage="1" showErrorMessage="1" errorTitle="Fout" error="Typ een getal groter of gelijk aan 0." sqref="D9:D11 D14:D16 D20:D22 D26:D27 D31:D32" xr:uid="{1E3E6965-9166-4198-9146-8080306C90C5}">
      <formula1>0</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Option Button 1">
              <controlPr defaultSize="0" autoFill="0" autoLine="0" autoPict="0">
                <anchor moveWithCells="1">
                  <from>
                    <xdr:col>1</xdr:col>
                    <xdr:colOff>0</xdr:colOff>
                    <xdr:row>4</xdr:row>
                    <xdr:rowOff>0</xdr:rowOff>
                  </from>
                  <to>
                    <xdr:col>1</xdr:col>
                    <xdr:colOff>2042160</xdr:colOff>
                    <xdr:row>5</xdr:row>
                    <xdr:rowOff>0</xdr:rowOff>
                  </to>
                </anchor>
              </controlPr>
            </control>
          </mc:Choice>
        </mc:AlternateContent>
        <mc:AlternateContent xmlns:mc="http://schemas.openxmlformats.org/markup-compatibility/2006">
          <mc:Choice Requires="x14">
            <control shapeId="22530" r:id="rId5" name="Option Button 2">
              <controlPr defaultSize="0" autoFill="0" autoLine="0" autoPict="0">
                <anchor moveWithCells="1">
                  <from>
                    <xdr:col>1</xdr:col>
                    <xdr:colOff>0</xdr:colOff>
                    <xdr:row>4</xdr:row>
                    <xdr:rowOff>182880</xdr:rowOff>
                  </from>
                  <to>
                    <xdr:col>2</xdr:col>
                    <xdr:colOff>0</xdr:colOff>
                    <xdr:row>6</xdr:row>
                    <xdr:rowOff>7620</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97F17-84AD-4418-B5EB-B918A17E9C32}">
  <sheetPr codeName="Blad40">
    <tabColor theme="8" tint="0.59999389629810485"/>
  </sheetPr>
  <dimension ref="B2:E36"/>
  <sheetViews>
    <sheetView showGridLines="0" zoomScale="80" zoomScaleNormal="80" workbookViewId="0">
      <selection activeCell="C5" sqref="C5"/>
    </sheetView>
  </sheetViews>
  <sheetFormatPr defaultRowHeight="14.4" x14ac:dyDescent="0.3"/>
  <cols>
    <col min="1" max="1" width="2.77734375" customWidth="1"/>
    <col min="2" max="2" width="30.5546875" customWidth="1"/>
    <col min="3" max="3" width="16.77734375" customWidth="1"/>
    <col min="4" max="4" width="2.6640625" customWidth="1"/>
  </cols>
  <sheetData>
    <row r="2" spans="2:3" x14ac:dyDescent="0.3">
      <c r="B2" s="456" t="s">
        <v>244</v>
      </c>
      <c r="C2" s="456"/>
    </row>
    <row r="3" spans="2:3" x14ac:dyDescent="0.3">
      <c r="B3" s="456"/>
      <c r="C3" s="456"/>
    </row>
    <row r="5" spans="2:3" x14ac:dyDescent="0.3">
      <c r="B5" s="11" t="s">
        <v>242</v>
      </c>
      <c r="C5" s="280"/>
    </row>
    <row r="7" spans="2:3" x14ac:dyDescent="0.3">
      <c r="B7" s="193"/>
      <c r="C7" s="220" t="s">
        <v>102</v>
      </c>
    </row>
    <row r="8" spans="2:3" x14ac:dyDescent="0.3">
      <c r="B8" s="11" t="s">
        <v>103</v>
      </c>
      <c r="C8" s="296"/>
    </row>
    <row r="9" spans="2:3" x14ac:dyDescent="0.3">
      <c r="B9" s="11" t="s">
        <v>104</v>
      </c>
      <c r="C9" s="296"/>
    </row>
    <row r="10" spans="2:3" x14ac:dyDescent="0.3">
      <c r="B10" s="11" t="s">
        <v>105</v>
      </c>
      <c r="C10" s="296"/>
    </row>
    <row r="12" spans="2:3" x14ac:dyDescent="0.3">
      <c r="B12" s="193" t="s">
        <v>127</v>
      </c>
      <c r="C12" s="261" t="s">
        <v>102</v>
      </c>
    </row>
    <row r="13" spans="2:3" x14ac:dyDescent="0.3">
      <c r="B13" s="11" t="s">
        <v>129</v>
      </c>
      <c r="C13" s="285"/>
    </row>
    <row r="14" spans="2:3" x14ac:dyDescent="0.3">
      <c r="B14" s="11" t="s">
        <v>110</v>
      </c>
      <c r="C14" s="285"/>
    </row>
    <row r="15" spans="2:3" x14ac:dyDescent="0.3">
      <c r="B15" s="11" t="s">
        <v>111</v>
      </c>
      <c r="C15" s="285"/>
    </row>
    <row r="16" spans="2:3" x14ac:dyDescent="0.3">
      <c r="B16" s="193" t="s">
        <v>113</v>
      </c>
      <c r="C16" s="195">
        <f>SUM(C13:C15)</f>
        <v>0</v>
      </c>
    </row>
    <row r="18" spans="2:5" x14ac:dyDescent="0.3">
      <c r="B18" s="193" t="s">
        <v>114</v>
      </c>
      <c r="C18" s="193"/>
    </row>
    <row r="19" spans="2:5" x14ac:dyDescent="0.3">
      <c r="B19" s="11" t="s">
        <v>115</v>
      </c>
      <c r="C19" s="285"/>
    </row>
    <row r="20" spans="2:5" x14ac:dyDescent="0.3">
      <c r="B20" s="11" t="s">
        <v>116</v>
      </c>
      <c r="C20" s="285"/>
    </row>
    <row r="21" spans="2:5" x14ac:dyDescent="0.3">
      <c r="B21" s="11" t="s">
        <v>117</v>
      </c>
      <c r="C21" s="285"/>
    </row>
    <row r="22" spans="2:5" x14ac:dyDescent="0.3">
      <c r="B22" s="193" t="s">
        <v>113</v>
      </c>
      <c r="C22" s="195">
        <f>SUM(C19:C21)</f>
        <v>0</v>
      </c>
    </row>
    <row r="24" spans="2:5" x14ac:dyDescent="0.3">
      <c r="B24" s="193" t="s">
        <v>118</v>
      </c>
      <c r="C24" s="193"/>
    </row>
    <row r="25" spans="2:5" x14ac:dyDescent="0.3">
      <c r="B25" s="11" t="s">
        <v>130</v>
      </c>
      <c r="C25" s="285"/>
    </row>
    <row r="26" spans="2:5" x14ac:dyDescent="0.3">
      <c r="B26" s="11" t="s">
        <v>131</v>
      </c>
      <c r="C26" s="285"/>
    </row>
    <row r="27" spans="2:5" x14ac:dyDescent="0.3">
      <c r="B27" s="193" t="s">
        <v>113</v>
      </c>
      <c r="C27" s="195">
        <f>SUM(C25:C26)</f>
        <v>0</v>
      </c>
    </row>
    <row r="29" spans="2:5" x14ac:dyDescent="0.3">
      <c r="B29" s="193" t="s">
        <v>121</v>
      </c>
      <c r="C29" s="193"/>
    </row>
    <row r="30" spans="2:5" x14ac:dyDescent="0.3">
      <c r="B30" s="11" t="s">
        <v>121</v>
      </c>
      <c r="C30" s="285"/>
      <c r="E30" t="s">
        <v>55</v>
      </c>
    </row>
    <row r="31" spans="2:5" x14ac:dyDescent="0.3">
      <c r="B31" s="11" t="s">
        <v>124</v>
      </c>
      <c r="C31" s="285"/>
    </row>
    <row r="32" spans="2:5" x14ac:dyDescent="0.3">
      <c r="B32" s="193" t="s">
        <v>113</v>
      </c>
      <c r="C32" s="195">
        <f>SUM(C30:C31)</f>
        <v>0</v>
      </c>
    </row>
    <row r="34" spans="2:3" x14ac:dyDescent="0.3">
      <c r="B34" s="11" t="s">
        <v>7</v>
      </c>
      <c r="C34" s="48">
        <f>C32+C27+C22+C16</f>
        <v>0</v>
      </c>
    </row>
    <row r="35" spans="2:3" x14ac:dyDescent="0.3">
      <c r="B35" s="11" t="s">
        <v>125</v>
      </c>
      <c r="C35" s="47">
        <f>IF(C8=0,0,C34/C8)</f>
        <v>0</v>
      </c>
    </row>
    <row r="36" spans="2:3" x14ac:dyDescent="0.3">
      <c r="B36" s="11" t="s">
        <v>126</v>
      </c>
      <c r="C36" s="47">
        <f>IF(C9=0,0,IF(C8=0,0,C34/(C8*C9)*1000))</f>
        <v>0</v>
      </c>
    </row>
  </sheetData>
  <sheetProtection sheet="1" objects="1" scenarios="1" selectLockedCells="1"/>
  <mergeCells count="1">
    <mergeCell ref="B2:C3"/>
  </mergeCells>
  <conditionalFormatting sqref="C7:C36">
    <cfRule type="expression" dxfId="68" priority="1">
      <formula>#REF!=1</formula>
    </cfRule>
  </conditionalFormatting>
  <conditionalFormatting sqref="C13:C36 C8:C10">
    <cfRule type="expression" dxfId="67" priority="2">
      <formula>#REF!=1</formula>
    </cfRule>
  </conditionalFormatting>
  <dataValidations count="1">
    <dataValidation type="decimal" operator="greaterThanOrEqual" allowBlank="1" showInputMessage="1" showErrorMessage="1" errorTitle="Fout" error="Typ een getal groter of gelijk aan 0." sqref="C8:C10 C13:C15 C19:C20 C21 C25:C26 C30:C31" xr:uid="{A81D1F73-D2E0-4F10-A33F-3E11B0C76F72}">
      <formula1>0</formula1>
    </dataValidation>
  </dataValidation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DEADC8-A97E-4C60-BC94-571765B88169}">
  <sheetPr codeName="Blad15">
    <tabColor theme="8" tint="0.59999389629810485"/>
  </sheetPr>
  <dimension ref="B2:F37"/>
  <sheetViews>
    <sheetView showGridLines="0" zoomScale="80" zoomScaleNormal="80" workbookViewId="0">
      <selection activeCell="D32" activeCellId="6" sqref="D9:D11 D14:D16 D20:D22 D26 D27 D31 D32"/>
    </sheetView>
  </sheetViews>
  <sheetFormatPr defaultRowHeight="14.4" x14ac:dyDescent="0.3"/>
  <cols>
    <col min="1" max="1" width="2.77734375" customWidth="1"/>
    <col min="2" max="2" width="30.5546875" customWidth="1"/>
    <col min="3" max="4" width="16.77734375" customWidth="1"/>
    <col min="5" max="5" width="2.5546875" customWidth="1"/>
  </cols>
  <sheetData>
    <row r="2" spans="2:5" x14ac:dyDescent="0.3">
      <c r="B2" s="456" t="s">
        <v>228</v>
      </c>
      <c r="C2" s="456"/>
      <c r="D2" s="456"/>
    </row>
    <row r="3" spans="2:5" x14ac:dyDescent="0.3">
      <c r="B3" s="456"/>
      <c r="C3" s="456"/>
      <c r="D3" s="456"/>
    </row>
    <row r="5" spans="2:5" x14ac:dyDescent="0.3">
      <c r="B5" s="277">
        <v>1</v>
      </c>
    </row>
    <row r="6" spans="2:5" x14ac:dyDescent="0.3">
      <c r="B6" s="240"/>
    </row>
    <row r="8" spans="2:5" x14ac:dyDescent="0.3">
      <c r="B8" s="193"/>
      <c r="C8" s="220" t="s">
        <v>101</v>
      </c>
      <c r="D8" s="220" t="s">
        <v>102</v>
      </c>
    </row>
    <row r="9" spans="2:5" x14ac:dyDescent="0.3">
      <c r="B9" s="11" t="s">
        <v>103</v>
      </c>
      <c r="C9" s="44">
        <f>Gegevens!F44</f>
        <v>5750</v>
      </c>
      <c r="D9" s="296"/>
    </row>
    <row r="10" spans="2:5" x14ac:dyDescent="0.3">
      <c r="B10" s="11" t="s">
        <v>104</v>
      </c>
      <c r="C10" s="24">
        <f>Gegevens!F45</f>
        <v>1170</v>
      </c>
      <c r="D10" s="296"/>
    </row>
    <row r="11" spans="2:5" x14ac:dyDescent="0.3">
      <c r="B11" s="11" t="s">
        <v>105</v>
      </c>
      <c r="C11" s="44">
        <f>Gegevens!F46</f>
        <v>135</v>
      </c>
      <c r="D11" s="296"/>
    </row>
    <row r="13" spans="2:5" x14ac:dyDescent="0.3">
      <c r="B13" s="193" t="s">
        <v>127</v>
      </c>
      <c r="C13" s="211" t="s">
        <v>107</v>
      </c>
      <c r="D13" s="211" t="s">
        <v>102</v>
      </c>
    </row>
    <row r="14" spans="2:5" x14ac:dyDescent="0.3">
      <c r="B14" s="11" t="s">
        <v>129</v>
      </c>
      <c r="C14" s="48">
        <f>Gegevens!F49</f>
        <v>197</v>
      </c>
      <c r="D14" s="285"/>
    </row>
    <row r="15" spans="2:5" x14ac:dyDescent="0.3">
      <c r="B15" s="11" t="s">
        <v>110</v>
      </c>
      <c r="C15" s="48">
        <f>Gegevens!F50</f>
        <v>55</v>
      </c>
      <c r="D15" s="285"/>
    </row>
    <row r="16" spans="2:5" x14ac:dyDescent="0.3">
      <c r="B16" s="11" t="s">
        <v>111</v>
      </c>
      <c r="C16" s="48">
        <f>Gegevens!F51</f>
        <v>116</v>
      </c>
      <c r="D16" s="285"/>
    </row>
    <row r="17" spans="2:6" x14ac:dyDescent="0.3">
      <c r="B17" s="193" t="s">
        <v>113</v>
      </c>
      <c r="C17" s="195">
        <f>Gegevens!F52</f>
        <v>368</v>
      </c>
      <c r="D17" s="195">
        <f>IF(D14=0,C14,D14)+IF(D15=0,C15,D15)+IF(D16=0,C16,D16)</f>
        <v>368</v>
      </c>
    </row>
    <row r="19" spans="2:6" x14ac:dyDescent="0.3">
      <c r="B19" s="193" t="s">
        <v>114</v>
      </c>
      <c r="C19" s="193"/>
      <c r="D19" s="193"/>
    </row>
    <row r="20" spans="2:6" x14ac:dyDescent="0.3">
      <c r="B20" s="11" t="s">
        <v>115</v>
      </c>
      <c r="C20" s="48">
        <f>Gegevens!F55</f>
        <v>125</v>
      </c>
      <c r="D20" s="285"/>
    </row>
    <row r="21" spans="2:6" x14ac:dyDescent="0.3">
      <c r="B21" s="11" t="s">
        <v>116</v>
      </c>
      <c r="C21" s="48">
        <f>Gegevens!F56</f>
        <v>44</v>
      </c>
      <c r="D21" s="285"/>
    </row>
    <row r="22" spans="2:6" x14ac:dyDescent="0.3">
      <c r="B22" s="11" t="s">
        <v>117</v>
      </c>
      <c r="C22" s="48">
        <f>Gegevens!F57</f>
        <v>25</v>
      </c>
      <c r="D22" s="285"/>
    </row>
    <row r="23" spans="2:6" x14ac:dyDescent="0.3">
      <c r="B23" s="193" t="s">
        <v>113</v>
      </c>
      <c r="C23" s="195">
        <f>Gegevens!F58</f>
        <v>194</v>
      </c>
      <c r="D23" s="195">
        <f>IF(D20=0,C20,D20)+IF(D21=0,C21,D21)+IF(D22=0,C22,D22)</f>
        <v>194</v>
      </c>
    </row>
    <row r="25" spans="2:6" x14ac:dyDescent="0.3">
      <c r="B25" s="193" t="s">
        <v>118</v>
      </c>
      <c r="C25" s="193"/>
      <c r="D25" s="193"/>
    </row>
    <row r="26" spans="2:6" x14ac:dyDescent="0.3">
      <c r="B26" s="11" t="s">
        <v>130</v>
      </c>
      <c r="C26" s="48">
        <f>Gegevens!F61</f>
        <v>40</v>
      </c>
      <c r="D26" s="285"/>
    </row>
    <row r="27" spans="2:6" x14ac:dyDescent="0.3">
      <c r="B27" s="11" t="s">
        <v>131</v>
      </c>
      <c r="C27" s="48">
        <f>Gegevens!F62</f>
        <v>99</v>
      </c>
      <c r="D27" s="285"/>
    </row>
    <row r="28" spans="2:6" x14ac:dyDescent="0.3">
      <c r="B28" s="193" t="s">
        <v>113</v>
      </c>
      <c r="C28" s="195">
        <f>Gegevens!F63</f>
        <v>139</v>
      </c>
      <c r="D28" s="195">
        <f>IF(D26=0,C26,D26)+IF(D27=0,C27,D27)</f>
        <v>139</v>
      </c>
    </row>
    <row r="30" spans="2:6" x14ac:dyDescent="0.3">
      <c r="B30" s="193" t="s">
        <v>121</v>
      </c>
      <c r="C30" s="193"/>
      <c r="D30" s="193"/>
    </row>
    <row r="31" spans="2:6" x14ac:dyDescent="0.3">
      <c r="B31" s="11" t="s">
        <v>121</v>
      </c>
      <c r="C31" s="48">
        <f>Gegevens!F66</f>
        <v>191</v>
      </c>
      <c r="D31" s="285"/>
      <c r="F31" t="s">
        <v>55</v>
      </c>
    </row>
    <row r="32" spans="2:6" x14ac:dyDescent="0.3">
      <c r="B32" s="11" t="s">
        <v>124</v>
      </c>
      <c r="C32" s="48">
        <f>Gegevens!F67</f>
        <v>0</v>
      </c>
      <c r="D32" s="285"/>
    </row>
    <row r="33" spans="2:4" x14ac:dyDescent="0.3">
      <c r="B33" s="193" t="s">
        <v>113</v>
      </c>
      <c r="C33" s="195">
        <f>Gegevens!F68</f>
        <v>191</v>
      </c>
      <c r="D33" s="195">
        <f>IF(D31=0,C31,D31)+IF(D32=0,C32,D32)</f>
        <v>191</v>
      </c>
    </row>
    <row r="35" spans="2:4" x14ac:dyDescent="0.3">
      <c r="B35" s="11" t="s">
        <v>7</v>
      </c>
      <c r="C35" s="48">
        <f>C33+C28+C23+C17</f>
        <v>892</v>
      </c>
      <c r="D35" s="48">
        <f>D33+D28+D23+D17</f>
        <v>892</v>
      </c>
    </row>
    <row r="36" spans="2:4" x14ac:dyDescent="0.3">
      <c r="B36" s="11" t="s">
        <v>125</v>
      </c>
      <c r="C36" s="47">
        <f>IF(C9=0,0,C35/C9)</f>
        <v>0.15513043478260868</v>
      </c>
      <c r="D36" s="47">
        <f>IF(D9=0,D35/C9,D35/D9)</f>
        <v>0.15513043478260868</v>
      </c>
    </row>
    <row r="37" spans="2:4" x14ac:dyDescent="0.3">
      <c r="B37" s="11" t="s">
        <v>126</v>
      </c>
      <c r="C37" s="47">
        <f>IF(C9=0,0,IF(C10=0,0,C35/(C9*C10/1000)))</f>
        <v>0.13259011519881084</v>
      </c>
      <c r="D37" s="47">
        <f>IF(D9=0,IF(D10=0,D35/(C9*C10),D35/C9*D10),IF(D10=0,D35/(D9*C10),D35/D9*D10))*1000</f>
        <v>0.13259011519881087</v>
      </c>
    </row>
  </sheetData>
  <sheetProtection sheet="1" objects="1" scenarios="1" selectLockedCells="1"/>
  <mergeCells count="1">
    <mergeCell ref="B2:D3"/>
  </mergeCells>
  <conditionalFormatting sqref="D8:D37">
    <cfRule type="expression" dxfId="66" priority="87">
      <formula>$B$5=1</formula>
    </cfRule>
  </conditionalFormatting>
  <conditionalFormatting sqref="D14:D37 D9:D11">
    <cfRule type="expression" dxfId="65" priority="88">
      <formula>$B$5=1</formula>
    </cfRule>
  </conditionalFormatting>
  <dataValidations count="1">
    <dataValidation type="decimal" operator="greaterThanOrEqual" allowBlank="1" showInputMessage="1" showErrorMessage="1" errorTitle="Fout" error="Typ een getal groter of gelijk aan 0." sqref="D9:D11 D14:D16 D20:D22 D26 D27 D31 D32" xr:uid="{45C889BC-8433-4405-8740-77875ACFE67E}">
      <formula1>0</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3553" r:id="rId4" name="Option Button 1">
              <controlPr defaultSize="0" autoFill="0" autoLine="0" autoPict="0">
                <anchor moveWithCells="1">
                  <from>
                    <xdr:col>1</xdr:col>
                    <xdr:colOff>0</xdr:colOff>
                    <xdr:row>4</xdr:row>
                    <xdr:rowOff>0</xdr:rowOff>
                  </from>
                  <to>
                    <xdr:col>2</xdr:col>
                    <xdr:colOff>0</xdr:colOff>
                    <xdr:row>5</xdr:row>
                    <xdr:rowOff>7620</xdr:rowOff>
                  </to>
                </anchor>
              </controlPr>
            </control>
          </mc:Choice>
        </mc:AlternateContent>
        <mc:AlternateContent xmlns:mc="http://schemas.openxmlformats.org/markup-compatibility/2006">
          <mc:Choice Requires="x14">
            <control shapeId="23554" r:id="rId5" name="Option Button 2">
              <controlPr defaultSize="0" autoFill="0" autoLine="0" autoPict="0">
                <anchor moveWithCells="1">
                  <from>
                    <xdr:col>1</xdr:col>
                    <xdr:colOff>0</xdr:colOff>
                    <xdr:row>4</xdr:row>
                    <xdr:rowOff>182880</xdr:rowOff>
                  </from>
                  <to>
                    <xdr:col>2</xdr:col>
                    <xdr:colOff>0</xdr:colOff>
                    <xdr:row>6</xdr:row>
                    <xdr:rowOff>7620</xdr:rowOff>
                  </to>
                </anchor>
              </controlPr>
            </control>
          </mc:Choice>
        </mc:AlternateContent>
      </controls>
    </mc:Choice>
  </mc:AlternateContent>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171674-998E-467B-AA70-F0CA063B430D}">
  <sheetPr codeName="Blad16">
    <tabColor theme="8" tint="0.59999389629810485"/>
  </sheetPr>
  <dimension ref="B2:F37"/>
  <sheetViews>
    <sheetView showGridLines="0" zoomScale="80" zoomScaleNormal="80" workbookViewId="0">
      <selection activeCell="D32" activeCellId="10" sqref="D9:D11 D14 D15 D16 D20 D21 D22 D26 D27 D31 D32"/>
    </sheetView>
  </sheetViews>
  <sheetFormatPr defaultRowHeight="14.4" x14ac:dyDescent="0.3"/>
  <cols>
    <col min="1" max="1" width="2.77734375" customWidth="1"/>
    <col min="2" max="2" width="30.5546875" customWidth="1"/>
    <col min="3" max="4" width="16.77734375" customWidth="1"/>
    <col min="5" max="5" width="2.5546875" customWidth="1"/>
  </cols>
  <sheetData>
    <row r="2" spans="2:5" x14ac:dyDescent="0.3">
      <c r="B2" s="456" t="s">
        <v>227</v>
      </c>
      <c r="C2" s="456"/>
      <c r="D2" s="456"/>
    </row>
    <row r="3" spans="2:5" x14ac:dyDescent="0.3">
      <c r="B3" s="456"/>
      <c r="C3" s="456"/>
      <c r="D3" s="456"/>
    </row>
    <row r="5" spans="2:5" x14ac:dyDescent="0.3">
      <c r="B5" s="277">
        <v>1</v>
      </c>
    </row>
    <row r="6" spans="2:5" x14ac:dyDescent="0.3">
      <c r="B6" s="240"/>
    </row>
    <row r="8" spans="2:5" x14ac:dyDescent="0.3">
      <c r="B8" s="193"/>
      <c r="C8" s="220" t="s">
        <v>101</v>
      </c>
      <c r="D8" s="220" t="s">
        <v>102</v>
      </c>
    </row>
    <row r="9" spans="2:5" x14ac:dyDescent="0.3">
      <c r="B9" s="11" t="s">
        <v>103</v>
      </c>
      <c r="C9" s="44">
        <f>Gegevens!G44</f>
        <v>2750</v>
      </c>
      <c r="D9" s="296"/>
    </row>
    <row r="10" spans="2:5" x14ac:dyDescent="0.3">
      <c r="B10" s="11" t="s">
        <v>104</v>
      </c>
      <c r="C10" s="24">
        <f>Gegevens!G45</f>
        <v>1000</v>
      </c>
      <c r="D10" s="296"/>
    </row>
    <row r="11" spans="2:5" x14ac:dyDescent="0.3">
      <c r="B11" s="11" t="s">
        <v>105</v>
      </c>
      <c r="C11" s="44">
        <f>Gegevens!G46</f>
        <v>220</v>
      </c>
      <c r="D11" s="296"/>
    </row>
    <row r="13" spans="2:5" x14ac:dyDescent="0.3">
      <c r="B13" s="193" t="s">
        <v>127</v>
      </c>
      <c r="C13" s="211" t="s">
        <v>107</v>
      </c>
      <c r="D13" s="211" t="s">
        <v>102</v>
      </c>
    </row>
    <row r="14" spans="2:5" x14ac:dyDescent="0.3">
      <c r="B14" s="11" t="s">
        <v>129</v>
      </c>
      <c r="C14" s="48">
        <f>Gegevens!G49</f>
        <v>197</v>
      </c>
      <c r="D14" s="285"/>
    </row>
    <row r="15" spans="2:5" x14ac:dyDescent="0.3">
      <c r="B15" s="11" t="s">
        <v>110</v>
      </c>
      <c r="C15" s="48">
        <f>Gegevens!G50</f>
        <v>80</v>
      </c>
      <c r="D15" s="285"/>
    </row>
    <row r="16" spans="2:5" x14ac:dyDescent="0.3">
      <c r="B16" s="11" t="s">
        <v>111</v>
      </c>
      <c r="C16" s="48">
        <f>Gegevens!G51</f>
        <v>290</v>
      </c>
      <c r="D16" s="285"/>
    </row>
    <row r="17" spans="2:6" x14ac:dyDescent="0.3">
      <c r="B17" s="193" t="s">
        <v>113</v>
      </c>
      <c r="C17" s="195">
        <f>Gegevens!G52</f>
        <v>567</v>
      </c>
      <c r="D17" s="195">
        <f>IF(D14=0,C14,D14)+IF(D15=0,C15,D15)+IF(D16=0,C16,D16)</f>
        <v>567</v>
      </c>
    </row>
    <row r="19" spans="2:6" x14ac:dyDescent="0.3">
      <c r="B19" s="193" t="s">
        <v>114</v>
      </c>
      <c r="C19" s="193"/>
      <c r="D19" s="193"/>
    </row>
    <row r="20" spans="2:6" x14ac:dyDescent="0.3">
      <c r="B20" s="11" t="s">
        <v>115</v>
      </c>
      <c r="C20" s="48">
        <f>Gegevens!G55</f>
        <v>67</v>
      </c>
      <c r="D20" s="285"/>
    </row>
    <row r="21" spans="2:6" x14ac:dyDescent="0.3">
      <c r="B21" s="11" t="s">
        <v>116</v>
      </c>
      <c r="C21" s="48">
        <f>Gegevens!G56</f>
        <v>77</v>
      </c>
      <c r="D21" s="285"/>
    </row>
    <row r="22" spans="2:6" x14ac:dyDescent="0.3">
      <c r="B22" s="11" t="s">
        <v>117</v>
      </c>
      <c r="C22" s="48">
        <f>Gegevens!G57</f>
        <v>25</v>
      </c>
      <c r="D22" s="285"/>
    </row>
    <row r="23" spans="2:6" x14ac:dyDescent="0.3">
      <c r="B23" s="193" t="s">
        <v>113</v>
      </c>
      <c r="C23" s="195">
        <f>Gegevens!G58</f>
        <v>169</v>
      </c>
      <c r="D23" s="195">
        <f>IF(D20=0,C20,D20)+IF(D21=0,C21,D21)+IF(D22=0,C22,D22)</f>
        <v>169</v>
      </c>
    </row>
    <row r="25" spans="2:6" x14ac:dyDescent="0.3">
      <c r="B25" s="193" t="s">
        <v>118</v>
      </c>
      <c r="C25" s="193"/>
      <c r="D25" s="193"/>
    </row>
    <row r="26" spans="2:6" x14ac:dyDescent="0.3">
      <c r="B26" s="11" t="s">
        <v>130</v>
      </c>
      <c r="C26" s="48">
        <f>Gegevens!G61</f>
        <v>80</v>
      </c>
      <c r="D26" s="285"/>
    </row>
    <row r="27" spans="2:6" x14ac:dyDescent="0.3">
      <c r="B27" s="11" t="s">
        <v>131</v>
      </c>
      <c r="C27" s="48">
        <f>Gegevens!G62</f>
        <v>126</v>
      </c>
      <c r="D27" s="285"/>
    </row>
    <row r="28" spans="2:6" x14ac:dyDescent="0.3">
      <c r="B28" s="193" t="s">
        <v>113</v>
      </c>
      <c r="C28" s="195">
        <f>Gegevens!G63</f>
        <v>206</v>
      </c>
      <c r="D28" s="195">
        <f>IF(D26=0,C26,D26)+IF(D27=0,C27,D27)</f>
        <v>206</v>
      </c>
    </row>
    <row r="30" spans="2:6" x14ac:dyDescent="0.3">
      <c r="B30" s="193" t="s">
        <v>121</v>
      </c>
      <c r="C30" s="193"/>
      <c r="D30" s="193"/>
    </row>
    <row r="31" spans="2:6" x14ac:dyDescent="0.3">
      <c r="B31" s="11" t="s">
        <v>121</v>
      </c>
      <c r="C31" s="48">
        <f>Gegevens!G66</f>
        <v>165</v>
      </c>
      <c r="D31" s="285"/>
      <c r="F31" t="s">
        <v>55</v>
      </c>
    </row>
    <row r="32" spans="2:6" x14ac:dyDescent="0.3">
      <c r="B32" s="11" t="s">
        <v>124</v>
      </c>
      <c r="C32" s="48">
        <f>Gegevens!G67</f>
        <v>0</v>
      </c>
      <c r="D32" s="285"/>
    </row>
    <row r="33" spans="2:4" x14ac:dyDescent="0.3">
      <c r="B33" s="193" t="s">
        <v>113</v>
      </c>
      <c r="C33" s="195">
        <f>Gegevens!G68</f>
        <v>165</v>
      </c>
      <c r="D33" s="195">
        <f>IF(D31=0,C31,D31)+IF(D32=0,C32,D32)</f>
        <v>165</v>
      </c>
    </row>
    <row r="35" spans="2:4" x14ac:dyDescent="0.3">
      <c r="B35" s="11" t="s">
        <v>7</v>
      </c>
      <c r="C35" s="48">
        <f>C33+C28+C23+C17</f>
        <v>1107</v>
      </c>
      <c r="D35" s="48">
        <f>D33+D28+D23+D17</f>
        <v>1107</v>
      </c>
    </row>
    <row r="36" spans="2:4" x14ac:dyDescent="0.3">
      <c r="B36" s="11" t="s">
        <v>125</v>
      </c>
      <c r="C36" s="47">
        <f>IF(C9=0,0,C35/C9)</f>
        <v>0.40254545454545454</v>
      </c>
      <c r="D36" s="47">
        <f>IF(D9=0,D35/C9,D35/D9)</f>
        <v>0.40254545454545454</v>
      </c>
    </row>
    <row r="37" spans="2:4" x14ac:dyDescent="0.3">
      <c r="B37" s="11" t="s">
        <v>126</v>
      </c>
      <c r="C37" s="47">
        <f>IF(C9=0,0,IF(C10=0,0,C35/(C9*C10/1000)))</f>
        <v>0.40254545454545454</v>
      </c>
      <c r="D37" s="47">
        <f>IF(D9=0,IF(D10=0,D35/(C9*C10),D35/C9*D10),IF(D10=0,D35/(D9*C10),D35/D9*D10))*1000</f>
        <v>0.40254545454545454</v>
      </c>
    </row>
  </sheetData>
  <sheetProtection sheet="1" objects="1" scenarios="1" selectLockedCells="1"/>
  <mergeCells count="1">
    <mergeCell ref="B2:D3"/>
  </mergeCells>
  <conditionalFormatting sqref="D8:D37">
    <cfRule type="expression" dxfId="64" priority="89">
      <formula>$B$5=1</formula>
    </cfRule>
  </conditionalFormatting>
  <conditionalFormatting sqref="D14:D37 D9:D11">
    <cfRule type="expression" dxfId="63" priority="90">
      <formula>$B$5=1</formula>
    </cfRule>
  </conditionalFormatting>
  <dataValidations count="1">
    <dataValidation type="decimal" operator="greaterThanOrEqual" allowBlank="1" showInputMessage="1" showErrorMessage="1" errorTitle="Fout" error="Typ een getal groter of gelijk aan 0." sqref="D9:D11 D14 D15 D16 D20 D21 D22 D26 D27 D31 D32" xr:uid="{890659ED-45BC-4C4C-9E0A-13C9493AF004}">
      <formula1>0</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4577" r:id="rId4" name="Option Button 1">
              <controlPr defaultSize="0" autoFill="0" autoLine="0" autoPict="0">
                <anchor moveWithCells="1">
                  <from>
                    <xdr:col>1</xdr:col>
                    <xdr:colOff>0</xdr:colOff>
                    <xdr:row>4</xdr:row>
                    <xdr:rowOff>0</xdr:rowOff>
                  </from>
                  <to>
                    <xdr:col>2</xdr:col>
                    <xdr:colOff>0</xdr:colOff>
                    <xdr:row>5</xdr:row>
                    <xdr:rowOff>7620</xdr:rowOff>
                  </to>
                </anchor>
              </controlPr>
            </control>
          </mc:Choice>
        </mc:AlternateContent>
        <mc:AlternateContent xmlns:mc="http://schemas.openxmlformats.org/markup-compatibility/2006">
          <mc:Choice Requires="x14">
            <control shapeId="24578" r:id="rId5" name="Option Button 2">
              <controlPr defaultSize="0" autoFill="0" autoLine="0" autoPict="0">
                <anchor moveWithCells="1">
                  <from>
                    <xdr:col>1</xdr:col>
                    <xdr:colOff>0</xdr:colOff>
                    <xdr:row>5</xdr:row>
                    <xdr:rowOff>0</xdr:rowOff>
                  </from>
                  <to>
                    <xdr:col>2</xdr:col>
                    <xdr:colOff>0</xdr:colOff>
                    <xdr:row>6</xdr:row>
                    <xdr:rowOff>0</xdr:rowOff>
                  </to>
                </anchor>
              </controlPr>
            </control>
          </mc:Choice>
        </mc:AlternateContent>
      </controls>
    </mc:Choice>
  </mc:AlternateContent>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0FB279-6A2B-4FC7-AE6B-23EB04FDBE55}">
  <sheetPr codeName="Blad17">
    <tabColor theme="8" tint="0.59999389629810485"/>
  </sheetPr>
  <dimension ref="B2:F37"/>
  <sheetViews>
    <sheetView showGridLines="0" zoomScale="80" zoomScaleNormal="80" workbookViewId="0">
      <selection activeCell="D11" sqref="D11"/>
    </sheetView>
  </sheetViews>
  <sheetFormatPr defaultRowHeight="14.4" x14ac:dyDescent="0.3"/>
  <cols>
    <col min="1" max="1" width="2.77734375" customWidth="1"/>
    <col min="2" max="2" width="30.5546875" customWidth="1"/>
    <col min="3" max="4" width="16.77734375" customWidth="1"/>
    <col min="5" max="5" width="3" customWidth="1"/>
  </cols>
  <sheetData>
    <row r="2" spans="2:5" x14ac:dyDescent="0.3">
      <c r="B2" s="456" t="s">
        <v>226</v>
      </c>
      <c r="C2" s="456"/>
      <c r="D2" s="456"/>
    </row>
    <row r="3" spans="2:5" x14ac:dyDescent="0.3">
      <c r="B3" s="456"/>
      <c r="C3" s="456"/>
      <c r="D3" s="456"/>
    </row>
    <row r="5" spans="2:5" x14ac:dyDescent="0.3">
      <c r="B5" s="277">
        <v>1</v>
      </c>
    </row>
    <row r="6" spans="2:5" x14ac:dyDescent="0.3">
      <c r="B6" s="240"/>
    </row>
    <row r="8" spans="2:5" x14ac:dyDescent="0.3">
      <c r="B8" s="193"/>
      <c r="C8" s="220" t="s">
        <v>101</v>
      </c>
      <c r="D8" s="220" t="s">
        <v>102</v>
      </c>
    </row>
    <row r="9" spans="2:5" x14ac:dyDescent="0.3">
      <c r="B9" s="11" t="s">
        <v>103</v>
      </c>
      <c r="C9" s="44">
        <f>Gegevens!H44</f>
        <v>11000</v>
      </c>
      <c r="D9" s="296"/>
    </row>
    <row r="10" spans="2:5" x14ac:dyDescent="0.3">
      <c r="B10" s="11" t="s">
        <v>104</v>
      </c>
      <c r="C10" s="24">
        <f>Gegevens!H45</f>
        <v>1150</v>
      </c>
      <c r="D10" s="296"/>
    </row>
    <row r="11" spans="2:5" x14ac:dyDescent="0.3">
      <c r="B11" s="11" t="s">
        <v>105</v>
      </c>
      <c r="C11" s="44">
        <f>Gegevens!H46</f>
        <v>66</v>
      </c>
      <c r="D11" s="296"/>
    </row>
    <row r="13" spans="2:5" x14ac:dyDescent="0.3">
      <c r="B13" s="193" t="s">
        <v>127</v>
      </c>
      <c r="C13" s="211" t="s">
        <v>107</v>
      </c>
      <c r="D13" s="211" t="s">
        <v>102</v>
      </c>
    </row>
    <row r="14" spans="2:5" x14ac:dyDescent="0.3">
      <c r="B14" s="11" t="s">
        <v>129</v>
      </c>
      <c r="C14" s="48">
        <f>Gegevens!H49</f>
        <v>197</v>
      </c>
      <c r="D14" s="285"/>
    </row>
    <row r="15" spans="2:5" x14ac:dyDescent="0.3">
      <c r="B15" s="11" t="s">
        <v>110</v>
      </c>
      <c r="C15" s="48">
        <f>Gegevens!H50</f>
        <v>80</v>
      </c>
      <c r="D15" s="285"/>
    </row>
    <row r="16" spans="2:5" x14ac:dyDescent="0.3">
      <c r="B16" s="11" t="s">
        <v>111</v>
      </c>
      <c r="C16" s="48">
        <f>Gegevens!H51</f>
        <v>205</v>
      </c>
      <c r="D16" s="285"/>
    </row>
    <row r="17" spans="2:6" x14ac:dyDescent="0.3">
      <c r="B17" s="193" t="s">
        <v>113</v>
      </c>
      <c r="C17" s="195">
        <f>Gegevens!H52</f>
        <v>482</v>
      </c>
      <c r="D17" s="195">
        <f>IF(D14=0,C14,D14)+IF(D15=0,C15,D15)+IF(D16=0,C16,D16)</f>
        <v>482</v>
      </c>
    </row>
    <row r="19" spans="2:6" x14ac:dyDescent="0.3">
      <c r="B19" s="193" t="s">
        <v>114</v>
      </c>
      <c r="C19" s="193"/>
      <c r="D19" s="193"/>
    </row>
    <row r="20" spans="2:6" x14ac:dyDescent="0.3">
      <c r="B20" s="11" t="s">
        <v>115</v>
      </c>
      <c r="C20" s="48">
        <f>Gegevens!H55</f>
        <v>125</v>
      </c>
      <c r="D20" s="285"/>
    </row>
    <row r="21" spans="2:6" x14ac:dyDescent="0.3">
      <c r="B21" s="11" t="s">
        <v>116</v>
      </c>
      <c r="C21" s="48">
        <f>Gegevens!H56</f>
        <v>23</v>
      </c>
      <c r="D21" s="285"/>
    </row>
    <row r="22" spans="2:6" x14ac:dyDescent="0.3">
      <c r="B22" s="11" t="s">
        <v>117</v>
      </c>
      <c r="C22" s="48">
        <f>Gegevens!H57</f>
        <v>25</v>
      </c>
      <c r="D22" s="285"/>
    </row>
    <row r="23" spans="2:6" x14ac:dyDescent="0.3">
      <c r="B23" s="193" t="s">
        <v>113</v>
      </c>
      <c r="C23" s="195">
        <f>Gegevens!H58</f>
        <v>173</v>
      </c>
      <c r="D23" s="195">
        <f>IF(D20=0,C20,D20)+IF(D21=0,C21,D21)+IF(D22=0,C22,D22)</f>
        <v>173</v>
      </c>
    </row>
    <row r="25" spans="2:6" x14ac:dyDescent="0.3">
      <c r="B25" s="193" t="s">
        <v>118</v>
      </c>
      <c r="C25" s="193"/>
      <c r="D25" s="193"/>
    </row>
    <row r="26" spans="2:6" x14ac:dyDescent="0.3">
      <c r="B26" s="11" t="s">
        <v>130</v>
      </c>
      <c r="C26" s="48">
        <f>Gegevens!H61</f>
        <v>40</v>
      </c>
      <c r="D26" s="285"/>
    </row>
    <row r="27" spans="2:6" x14ac:dyDescent="0.3">
      <c r="B27" s="11" t="s">
        <v>131</v>
      </c>
      <c r="C27" s="48">
        <f>Gegevens!H62</f>
        <v>76</v>
      </c>
      <c r="D27" s="285"/>
    </row>
    <row r="28" spans="2:6" x14ac:dyDescent="0.3">
      <c r="B28" s="193" t="s">
        <v>113</v>
      </c>
      <c r="C28" s="195">
        <f>Gegevens!H63</f>
        <v>116</v>
      </c>
      <c r="D28" s="195">
        <f>IF(D26=0,C26,D26)+IF(D27=0,C27,D27)</f>
        <v>116</v>
      </c>
    </row>
    <row r="30" spans="2:6" x14ac:dyDescent="0.3">
      <c r="B30" s="193" t="s">
        <v>121</v>
      </c>
      <c r="C30" s="193"/>
      <c r="D30" s="193"/>
    </row>
    <row r="31" spans="2:6" x14ac:dyDescent="0.3">
      <c r="B31" s="11" t="s">
        <v>121</v>
      </c>
      <c r="C31" s="48">
        <f>Gegevens!H66</f>
        <v>468</v>
      </c>
      <c r="D31" s="285"/>
      <c r="F31" t="s">
        <v>55</v>
      </c>
    </row>
    <row r="32" spans="2:6" x14ac:dyDescent="0.3">
      <c r="B32" s="11" t="s">
        <v>124</v>
      </c>
      <c r="C32" s="48">
        <f>Gegevens!H67</f>
        <v>0</v>
      </c>
      <c r="D32" s="285"/>
    </row>
    <row r="33" spans="2:4" x14ac:dyDescent="0.3">
      <c r="B33" s="193" t="s">
        <v>113</v>
      </c>
      <c r="C33" s="195">
        <f>Gegevens!H68</f>
        <v>468</v>
      </c>
      <c r="D33" s="195">
        <f>IF(D31=0,C31,D31)+IF(D32=0,C32,D32)</f>
        <v>468</v>
      </c>
    </row>
    <row r="35" spans="2:4" x14ac:dyDescent="0.3">
      <c r="B35" s="11" t="s">
        <v>7</v>
      </c>
      <c r="C35" s="48">
        <f>C33+C28+C23+C17</f>
        <v>1239</v>
      </c>
      <c r="D35" s="48">
        <f>D33+D28+D23+D17</f>
        <v>1239</v>
      </c>
    </row>
    <row r="36" spans="2:4" x14ac:dyDescent="0.3">
      <c r="B36" s="11" t="s">
        <v>125</v>
      </c>
      <c r="C36" s="47">
        <f>IF(C9=0,0,C35/C9)</f>
        <v>0.11263636363636363</v>
      </c>
      <c r="D36" s="47">
        <f>IF(D9=0,D35/C9,D35/D9)</f>
        <v>0.11263636363636363</v>
      </c>
    </row>
    <row r="37" spans="2:4" x14ac:dyDescent="0.3">
      <c r="B37" s="11" t="s">
        <v>126</v>
      </c>
      <c r="C37" s="47">
        <f>IF(C9=0,0,IF(C10=0,0,C35/(C9*C10/1000)))</f>
        <v>9.7944664031620554E-2</v>
      </c>
      <c r="D37" s="47">
        <f>IF(D9=0,IF(D10=0,D35/(C9*C10),D35/C9*D10),IF(D10=0,D35/(D9*C10),D35/D9*D10))*1000</f>
        <v>9.7944664031620554E-2</v>
      </c>
    </row>
  </sheetData>
  <sheetProtection selectLockedCells="1"/>
  <mergeCells count="1">
    <mergeCell ref="B2:D3"/>
  </mergeCells>
  <conditionalFormatting sqref="D8:D37">
    <cfRule type="expression" dxfId="62" priority="91">
      <formula>$B$5=1</formula>
    </cfRule>
  </conditionalFormatting>
  <conditionalFormatting sqref="D14:D37 D9:D11">
    <cfRule type="expression" dxfId="61" priority="92">
      <formula>$B$5=1</formula>
    </cfRule>
  </conditionalFormatting>
  <dataValidations count="1">
    <dataValidation type="decimal" operator="greaterThanOrEqual" allowBlank="1" showInputMessage="1" showErrorMessage="1" errorTitle="Fout" error="Typ een getal groter of gelijk aan 0." sqref="D9:D10 D11 D14:D16 D20:D22 D26 D27 D31 D32" xr:uid="{F1249CFA-1C9A-4C2D-B435-58FD20DBFB81}">
      <formula1>0</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5601" r:id="rId4" name="Option Button 1">
              <controlPr defaultSize="0" autoFill="0" autoLine="0" autoPict="0">
                <anchor moveWithCells="1">
                  <from>
                    <xdr:col>1</xdr:col>
                    <xdr:colOff>0</xdr:colOff>
                    <xdr:row>4</xdr:row>
                    <xdr:rowOff>0</xdr:rowOff>
                  </from>
                  <to>
                    <xdr:col>2</xdr:col>
                    <xdr:colOff>0</xdr:colOff>
                    <xdr:row>5</xdr:row>
                    <xdr:rowOff>0</xdr:rowOff>
                  </to>
                </anchor>
              </controlPr>
            </control>
          </mc:Choice>
        </mc:AlternateContent>
        <mc:AlternateContent xmlns:mc="http://schemas.openxmlformats.org/markup-compatibility/2006">
          <mc:Choice Requires="x14">
            <control shapeId="25602" r:id="rId5" name="Option Button 2">
              <controlPr defaultSize="0" autoFill="0" autoLine="0" autoPict="0">
                <anchor moveWithCells="1">
                  <from>
                    <xdr:col>1</xdr:col>
                    <xdr:colOff>0</xdr:colOff>
                    <xdr:row>4</xdr:row>
                    <xdr:rowOff>182880</xdr:rowOff>
                  </from>
                  <to>
                    <xdr:col>2</xdr:col>
                    <xdr:colOff>0</xdr:colOff>
                    <xdr:row>6</xdr:row>
                    <xdr:rowOff>7620</xdr:rowOff>
                  </to>
                </anchor>
              </controlPr>
            </control>
          </mc:Choice>
        </mc:AlternateContent>
      </controls>
    </mc:Choice>
  </mc:AlternateContent>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D1594-DD52-45E0-B55F-B207454F334F}">
  <sheetPr codeName="Blad20">
    <tabColor theme="8" tint="0.59999389629810485"/>
  </sheetPr>
  <dimension ref="B2:F37"/>
  <sheetViews>
    <sheetView showGridLines="0" zoomScale="80" zoomScaleNormal="80" workbookViewId="0">
      <selection activeCell="D32" activeCellId="6" sqref="D9:D11 D14:D16 D20:D22 D27 D26 D31 D32"/>
    </sheetView>
  </sheetViews>
  <sheetFormatPr defaultRowHeight="14.4" x14ac:dyDescent="0.3"/>
  <cols>
    <col min="1" max="1" width="2.77734375" customWidth="1"/>
    <col min="2" max="2" width="30.5546875" customWidth="1"/>
    <col min="3" max="4" width="16.77734375" customWidth="1"/>
    <col min="5" max="5" width="2.77734375" customWidth="1"/>
  </cols>
  <sheetData>
    <row r="2" spans="2:5" x14ac:dyDescent="0.3">
      <c r="B2" s="456" t="s">
        <v>225</v>
      </c>
      <c r="C2" s="456"/>
      <c r="D2" s="456"/>
    </row>
    <row r="3" spans="2:5" x14ac:dyDescent="0.3">
      <c r="B3" s="456"/>
      <c r="C3" s="456"/>
      <c r="D3" s="456"/>
    </row>
    <row r="5" spans="2:5" x14ac:dyDescent="0.3">
      <c r="B5" s="277">
        <v>1</v>
      </c>
    </row>
    <row r="6" spans="2:5" x14ac:dyDescent="0.3">
      <c r="B6" s="240"/>
    </row>
    <row r="8" spans="2:5" x14ac:dyDescent="0.3">
      <c r="B8" s="193"/>
      <c r="C8" s="220" t="s">
        <v>101</v>
      </c>
      <c r="D8" s="220" t="s">
        <v>102</v>
      </c>
    </row>
    <row r="9" spans="2:5" x14ac:dyDescent="0.3">
      <c r="B9" s="11" t="s">
        <v>103</v>
      </c>
      <c r="C9" s="44">
        <f>Gegevens!I44</f>
        <v>8800</v>
      </c>
      <c r="D9" s="296"/>
    </row>
    <row r="10" spans="2:5" x14ac:dyDescent="0.3">
      <c r="B10" s="11" t="s">
        <v>104</v>
      </c>
      <c r="C10" s="24">
        <f>Gegevens!I45</f>
        <v>1200</v>
      </c>
      <c r="D10" s="296"/>
    </row>
    <row r="11" spans="2:5" x14ac:dyDescent="0.3">
      <c r="B11" s="11" t="s">
        <v>105</v>
      </c>
      <c r="C11" s="44">
        <f>Gegevens!I46</f>
        <v>69</v>
      </c>
      <c r="D11" s="296"/>
    </row>
    <row r="13" spans="2:5" x14ac:dyDescent="0.3">
      <c r="B13" s="193" t="s">
        <v>127</v>
      </c>
      <c r="C13" s="211" t="s">
        <v>107</v>
      </c>
      <c r="D13" s="211" t="s">
        <v>102</v>
      </c>
    </row>
    <row r="14" spans="2:5" x14ac:dyDescent="0.3">
      <c r="B14" s="11" t="s">
        <v>129</v>
      </c>
      <c r="C14" s="48">
        <f>Gegevens!I49</f>
        <v>197</v>
      </c>
      <c r="D14" s="285"/>
    </row>
    <row r="15" spans="2:5" x14ac:dyDescent="0.3">
      <c r="B15" s="11" t="s">
        <v>110</v>
      </c>
      <c r="C15" s="48">
        <f>Gegevens!I50</f>
        <v>80</v>
      </c>
      <c r="D15" s="285"/>
    </row>
    <row r="16" spans="2:5" x14ac:dyDescent="0.3">
      <c r="B16" s="11" t="s">
        <v>111</v>
      </c>
      <c r="C16" s="48">
        <f>Gegevens!I51</f>
        <v>205</v>
      </c>
      <c r="D16" s="285"/>
    </row>
    <row r="17" spans="2:6" x14ac:dyDescent="0.3">
      <c r="B17" s="224" t="s">
        <v>113</v>
      </c>
      <c r="C17" s="306">
        <f>Gegevens!I52</f>
        <v>482</v>
      </c>
      <c r="D17" s="306">
        <f>IF(D14=0,C14,D14)+IF(D15=0,C15,D15)+IF(D16=0,C16,D16)</f>
        <v>482</v>
      </c>
    </row>
    <row r="19" spans="2:6" x14ac:dyDescent="0.3">
      <c r="B19" s="193" t="s">
        <v>114</v>
      </c>
      <c r="C19" s="193"/>
      <c r="D19" s="193"/>
    </row>
    <row r="20" spans="2:6" x14ac:dyDescent="0.3">
      <c r="B20" s="11" t="s">
        <v>115</v>
      </c>
      <c r="C20" s="48">
        <f>Gegevens!I55</f>
        <v>125</v>
      </c>
      <c r="D20" s="285"/>
    </row>
    <row r="21" spans="2:6" x14ac:dyDescent="0.3">
      <c r="B21" s="11" t="s">
        <v>116</v>
      </c>
      <c r="C21" s="48">
        <f>Gegevens!I56</f>
        <v>23</v>
      </c>
      <c r="D21" s="285"/>
    </row>
    <row r="22" spans="2:6" x14ac:dyDescent="0.3">
      <c r="B22" s="11" t="s">
        <v>117</v>
      </c>
      <c r="C22" s="48">
        <f>Gegevens!I57</f>
        <v>25</v>
      </c>
      <c r="D22" s="285"/>
    </row>
    <row r="23" spans="2:6" x14ac:dyDescent="0.3">
      <c r="B23" s="193" t="s">
        <v>113</v>
      </c>
      <c r="C23" s="195">
        <f>Gegevens!I58</f>
        <v>173</v>
      </c>
      <c r="D23" s="195">
        <f>IF(D20=0,C20,D20)+IF(D21=0,C21,D21)+IF(D22=0,C22,D22)</f>
        <v>173</v>
      </c>
    </row>
    <row r="25" spans="2:6" x14ac:dyDescent="0.3">
      <c r="B25" s="193" t="s">
        <v>118</v>
      </c>
      <c r="C25" s="193"/>
      <c r="D25" s="193"/>
    </row>
    <row r="26" spans="2:6" x14ac:dyDescent="0.3">
      <c r="B26" s="11" t="s">
        <v>130</v>
      </c>
      <c r="C26" s="48">
        <f>Gegevens!I61</f>
        <v>40</v>
      </c>
      <c r="D26" s="285"/>
    </row>
    <row r="27" spans="2:6" x14ac:dyDescent="0.3">
      <c r="B27" s="11" t="s">
        <v>131</v>
      </c>
      <c r="C27" s="48">
        <f>Gegevens!I62</f>
        <v>76</v>
      </c>
      <c r="D27" s="285"/>
    </row>
    <row r="28" spans="2:6" x14ac:dyDescent="0.3">
      <c r="B28" s="193" t="s">
        <v>113</v>
      </c>
      <c r="C28" s="195">
        <f>Gegevens!I63</f>
        <v>116</v>
      </c>
      <c r="D28" s="195">
        <f>IF(D26=0,C26,D26)+IF(D27=0,C27,D27)</f>
        <v>116</v>
      </c>
    </row>
    <row r="30" spans="2:6" x14ac:dyDescent="0.3">
      <c r="B30" s="193" t="s">
        <v>121</v>
      </c>
      <c r="C30" s="193"/>
      <c r="D30" s="193"/>
    </row>
    <row r="31" spans="2:6" x14ac:dyDescent="0.3">
      <c r="B31" s="11" t="s">
        <v>121</v>
      </c>
      <c r="C31" s="48">
        <f>Gegevens!I66</f>
        <v>550</v>
      </c>
      <c r="D31" s="285"/>
      <c r="F31" t="s">
        <v>55</v>
      </c>
    </row>
    <row r="32" spans="2:6" x14ac:dyDescent="0.3">
      <c r="B32" s="11" t="s">
        <v>124</v>
      </c>
      <c r="C32" s="48">
        <f>Gegevens!I67</f>
        <v>0</v>
      </c>
      <c r="D32" s="285"/>
    </row>
    <row r="33" spans="2:4" x14ac:dyDescent="0.3">
      <c r="B33" s="193" t="s">
        <v>113</v>
      </c>
      <c r="C33" s="195">
        <f>Gegevens!I68</f>
        <v>550</v>
      </c>
      <c r="D33" s="195">
        <f>IF(D31=0,C31,D31)+IF(D32=0,C32,D32)</f>
        <v>550</v>
      </c>
    </row>
    <row r="35" spans="2:4" x14ac:dyDescent="0.3">
      <c r="B35" s="11" t="s">
        <v>7</v>
      </c>
      <c r="C35" s="48">
        <f>C33+C28+C23+C17</f>
        <v>1321</v>
      </c>
      <c r="D35" s="48">
        <f>D33+D28+D23+D17</f>
        <v>1321</v>
      </c>
    </row>
    <row r="36" spans="2:4" x14ac:dyDescent="0.3">
      <c r="B36" s="11" t="s">
        <v>125</v>
      </c>
      <c r="C36" s="47">
        <f>IF(C9=0,0,C35/C9)</f>
        <v>0.15011363636363637</v>
      </c>
      <c r="D36" s="47">
        <f>IF(D9=0,D35/C9,D35/D9)</f>
        <v>0.15011363636363637</v>
      </c>
    </row>
    <row r="37" spans="2:4" x14ac:dyDescent="0.3">
      <c r="B37" s="11" t="s">
        <v>126</v>
      </c>
      <c r="C37" s="47">
        <f>IF(C9=0,0,IF(C10=0,0,C35/(C9*C10/1000)))</f>
        <v>0.12509469696969697</v>
      </c>
      <c r="D37" s="47">
        <f>IF(D9=0,IF(D10=0,D35/(C9*C10),D35/C9*D10),IF(D10=0,D35/(D9*C10),D35/D9*D10))*1000</f>
        <v>0.12509469696969699</v>
      </c>
    </row>
  </sheetData>
  <sheetProtection sheet="1" objects="1" scenarios="1" selectLockedCells="1"/>
  <mergeCells count="1">
    <mergeCell ref="B2:D3"/>
  </mergeCells>
  <conditionalFormatting sqref="D14:D37 D9:D11">
    <cfRule type="expression" dxfId="60" priority="1">
      <formula>$B$5=1</formula>
    </cfRule>
  </conditionalFormatting>
  <conditionalFormatting sqref="D9:D11">
    <cfRule type="expression" dxfId="59" priority="95">
      <formula>$B$5=1</formula>
    </cfRule>
  </conditionalFormatting>
  <conditionalFormatting sqref="D8 D13">
    <cfRule type="expression" dxfId="58" priority="94">
      <formula>$B$5=1</formula>
    </cfRule>
  </conditionalFormatting>
  <dataValidations count="1">
    <dataValidation type="decimal" operator="greaterThanOrEqual" allowBlank="1" showInputMessage="1" showErrorMessage="1" errorTitle="Fout" error="Typ een getal groter of gelijk aan 0." sqref="D9:D11 D14:D16 D20:D22 D27 D26 D31 D32" xr:uid="{8BF5A136-2FD2-490E-A10A-2B83A92A014A}">
      <formula1>0</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6625" r:id="rId4" name="Option Button 1">
              <controlPr defaultSize="0" autoFill="0" autoLine="0" autoPict="0">
                <anchor moveWithCells="1">
                  <from>
                    <xdr:col>1</xdr:col>
                    <xdr:colOff>0</xdr:colOff>
                    <xdr:row>4</xdr:row>
                    <xdr:rowOff>0</xdr:rowOff>
                  </from>
                  <to>
                    <xdr:col>2</xdr:col>
                    <xdr:colOff>0</xdr:colOff>
                    <xdr:row>5</xdr:row>
                    <xdr:rowOff>0</xdr:rowOff>
                  </to>
                </anchor>
              </controlPr>
            </control>
          </mc:Choice>
        </mc:AlternateContent>
        <mc:AlternateContent xmlns:mc="http://schemas.openxmlformats.org/markup-compatibility/2006">
          <mc:Choice Requires="x14">
            <control shapeId="26626" r:id="rId5" name="Option Button 2">
              <controlPr defaultSize="0" autoFill="0" autoLine="0" autoPict="0">
                <anchor moveWithCells="1">
                  <from>
                    <xdr:col>1</xdr:col>
                    <xdr:colOff>0</xdr:colOff>
                    <xdr:row>4</xdr:row>
                    <xdr:rowOff>182880</xdr:rowOff>
                  </from>
                  <to>
                    <xdr:col>2</xdr:col>
                    <xdr:colOff>0</xdr:colOff>
                    <xdr:row>6</xdr:row>
                    <xdr:rowOff>7620</xdr:rowOff>
                  </to>
                </anchor>
              </controlPr>
            </control>
          </mc:Choice>
        </mc:AlternateContent>
      </controls>
    </mc:Choice>
  </mc:AlternateConten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BD71EC-2168-4897-8A73-126BBB009528}">
  <sheetPr codeName="Blad41">
    <tabColor theme="8" tint="0.59999389629810485"/>
  </sheetPr>
  <dimension ref="B2:E36"/>
  <sheetViews>
    <sheetView showGridLines="0" zoomScale="80" zoomScaleNormal="80" workbookViewId="0">
      <selection activeCell="C30" activeCellId="9" sqref="C8:C10 C13:C14 C15 C19 C21 C20 C25 C26 C31 C30"/>
    </sheetView>
  </sheetViews>
  <sheetFormatPr defaultRowHeight="14.4" x14ac:dyDescent="0.3"/>
  <cols>
    <col min="1" max="1" width="2.77734375" customWidth="1"/>
    <col min="2" max="2" width="30.5546875" customWidth="1"/>
    <col min="3" max="3" width="16.77734375" customWidth="1"/>
    <col min="4" max="4" width="2.6640625" customWidth="1"/>
  </cols>
  <sheetData>
    <row r="2" spans="2:3" x14ac:dyDescent="0.3">
      <c r="B2" s="456" t="s">
        <v>243</v>
      </c>
      <c r="C2" s="456"/>
    </row>
    <row r="3" spans="2:3" x14ac:dyDescent="0.3">
      <c r="B3" s="456"/>
      <c r="C3" s="456"/>
    </row>
    <row r="5" spans="2:3" x14ac:dyDescent="0.3">
      <c r="B5" s="11" t="s">
        <v>242</v>
      </c>
      <c r="C5" s="280"/>
    </row>
    <row r="7" spans="2:3" x14ac:dyDescent="0.3">
      <c r="B7" s="193"/>
      <c r="C7" s="220" t="s">
        <v>102</v>
      </c>
    </row>
    <row r="8" spans="2:3" x14ac:dyDescent="0.3">
      <c r="B8" s="11" t="s">
        <v>103</v>
      </c>
      <c r="C8" s="296"/>
    </row>
    <row r="9" spans="2:3" x14ac:dyDescent="0.3">
      <c r="B9" s="11" t="s">
        <v>104</v>
      </c>
      <c r="C9" s="296"/>
    </row>
    <row r="10" spans="2:3" x14ac:dyDescent="0.3">
      <c r="B10" s="11" t="s">
        <v>105</v>
      </c>
      <c r="C10" s="296"/>
    </row>
    <row r="12" spans="2:3" x14ac:dyDescent="0.3">
      <c r="B12" s="193" t="s">
        <v>127</v>
      </c>
      <c r="C12" s="261" t="s">
        <v>102</v>
      </c>
    </row>
    <row r="13" spans="2:3" x14ac:dyDescent="0.3">
      <c r="B13" s="11" t="s">
        <v>129</v>
      </c>
      <c r="C13" s="285"/>
    </row>
    <row r="14" spans="2:3" x14ac:dyDescent="0.3">
      <c r="B14" s="11" t="s">
        <v>110</v>
      </c>
      <c r="C14" s="285"/>
    </row>
    <row r="15" spans="2:3" x14ac:dyDescent="0.3">
      <c r="B15" s="11" t="s">
        <v>111</v>
      </c>
      <c r="C15" s="285"/>
    </row>
    <row r="16" spans="2:3" x14ac:dyDescent="0.3">
      <c r="B16" s="193" t="s">
        <v>113</v>
      </c>
      <c r="C16" s="195">
        <f>SUM(C13:C15)</f>
        <v>0</v>
      </c>
    </row>
    <row r="18" spans="2:5" x14ac:dyDescent="0.3">
      <c r="B18" s="193" t="s">
        <v>114</v>
      </c>
      <c r="C18" s="193"/>
    </row>
    <row r="19" spans="2:5" x14ac:dyDescent="0.3">
      <c r="B19" s="11" t="s">
        <v>115</v>
      </c>
      <c r="C19" s="285"/>
    </row>
    <row r="20" spans="2:5" x14ac:dyDescent="0.3">
      <c r="B20" s="11" t="s">
        <v>116</v>
      </c>
      <c r="C20" s="285"/>
    </row>
    <row r="21" spans="2:5" x14ac:dyDescent="0.3">
      <c r="B21" s="11" t="s">
        <v>117</v>
      </c>
      <c r="C21" s="285"/>
    </row>
    <row r="22" spans="2:5" x14ac:dyDescent="0.3">
      <c r="B22" s="193" t="s">
        <v>113</v>
      </c>
      <c r="C22" s="195">
        <f>SUM(C19:C21)</f>
        <v>0</v>
      </c>
    </row>
    <row r="24" spans="2:5" x14ac:dyDescent="0.3">
      <c r="B24" s="193" t="s">
        <v>118</v>
      </c>
      <c r="C24" s="193"/>
    </row>
    <row r="25" spans="2:5" x14ac:dyDescent="0.3">
      <c r="B25" s="11" t="s">
        <v>130</v>
      </c>
      <c r="C25" s="285"/>
    </row>
    <row r="26" spans="2:5" x14ac:dyDescent="0.3">
      <c r="B26" s="11" t="s">
        <v>131</v>
      </c>
      <c r="C26" s="285"/>
    </row>
    <row r="27" spans="2:5" x14ac:dyDescent="0.3">
      <c r="B27" s="193" t="s">
        <v>113</v>
      </c>
      <c r="C27" s="195">
        <f>SUM(C25:C26)</f>
        <v>0</v>
      </c>
    </row>
    <row r="29" spans="2:5" x14ac:dyDescent="0.3">
      <c r="B29" s="193" t="s">
        <v>121</v>
      </c>
      <c r="C29" s="193"/>
    </row>
    <row r="30" spans="2:5" x14ac:dyDescent="0.3">
      <c r="B30" s="11" t="s">
        <v>121</v>
      </c>
      <c r="C30" s="285"/>
      <c r="E30" t="s">
        <v>55</v>
      </c>
    </row>
    <row r="31" spans="2:5" x14ac:dyDescent="0.3">
      <c r="B31" s="11" t="s">
        <v>124</v>
      </c>
      <c r="C31" s="285"/>
    </row>
    <row r="32" spans="2:5" x14ac:dyDescent="0.3">
      <c r="B32" s="193" t="s">
        <v>113</v>
      </c>
      <c r="C32" s="195">
        <f>SUM(C30:C31)</f>
        <v>0</v>
      </c>
    </row>
    <row r="34" spans="2:3" x14ac:dyDescent="0.3">
      <c r="B34" s="11" t="s">
        <v>7</v>
      </c>
      <c r="C34" s="48">
        <f>C32+C27+C22+C16</f>
        <v>0</v>
      </c>
    </row>
    <row r="35" spans="2:3" x14ac:dyDescent="0.3">
      <c r="B35" s="11" t="s">
        <v>125</v>
      </c>
      <c r="C35" s="47">
        <f>IF(C8=0,0,C34/C8)</f>
        <v>0</v>
      </c>
    </row>
    <row r="36" spans="2:3" x14ac:dyDescent="0.3">
      <c r="B36" s="11" t="s">
        <v>126</v>
      </c>
      <c r="C36" s="47">
        <f>IF(C9=0,0,IF(C8=0,0,C34/(C8*C9)*1000))</f>
        <v>0</v>
      </c>
    </row>
  </sheetData>
  <sheetProtection sheet="1" objects="1" scenarios="1" selectLockedCells="1"/>
  <mergeCells count="1">
    <mergeCell ref="B2:C3"/>
  </mergeCells>
  <conditionalFormatting sqref="C7:C36">
    <cfRule type="expression" dxfId="57" priority="1">
      <formula>#REF!=1</formula>
    </cfRule>
  </conditionalFormatting>
  <conditionalFormatting sqref="C13:C36 C8:C10">
    <cfRule type="expression" dxfId="56" priority="2">
      <formula>#REF!=1</formula>
    </cfRule>
  </conditionalFormatting>
  <dataValidations count="1">
    <dataValidation type="decimal" operator="greaterThanOrEqual" allowBlank="1" showInputMessage="1" showErrorMessage="1" errorTitle="Fout" error="Typ een getal groter of gelijk aan 0." sqref="C8:C10 C13:C14 C15 C19 C21 C20 C25 C26 C31 C30" xr:uid="{D51DC511-ED08-4097-8721-333E7482BD0F}">
      <formula1>0</formula1>
    </dataValidation>
  </dataValidations>
  <pageMargins left="0.7" right="0.7" top="0.75" bottom="0.75" header="0.3" footer="0.3"/>
  <pageSetup paperSize="9" orientation="portrait" r:id="rId1"/>
  <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BB503F-5C1F-43F9-9EF5-FBDC787327A5}">
  <sheetPr codeName="Blad21">
    <tabColor theme="8" tint="0.59999389629810485"/>
  </sheetPr>
  <dimension ref="B2:H41"/>
  <sheetViews>
    <sheetView showGridLines="0" zoomScale="80" zoomScaleNormal="80" workbookViewId="0">
      <selection activeCell="B5" activeCellId="2" sqref="B7 B6 B5"/>
    </sheetView>
  </sheetViews>
  <sheetFormatPr defaultRowHeight="14.4" x14ac:dyDescent="0.3"/>
  <cols>
    <col min="1" max="1" width="2.77734375" customWidth="1"/>
    <col min="2" max="2" width="30.5546875" customWidth="1"/>
    <col min="3" max="5" width="16.77734375" customWidth="1"/>
    <col min="6" max="6" width="2.6640625" customWidth="1"/>
    <col min="7" max="7" width="27.21875" customWidth="1"/>
    <col min="8" max="8" width="3.77734375" style="9" customWidth="1"/>
  </cols>
  <sheetData>
    <row r="2" spans="2:7" ht="14.55" customHeight="1" x14ac:dyDescent="0.3">
      <c r="B2" s="456" t="s">
        <v>224</v>
      </c>
      <c r="C2" s="456"/>
      <c r="D2" s="456"/>
      <c r="E2" s="456"/>
    </row>
    <row r="3" spans="2:7" ht="14.55" customHeight="1" x14ac:dyDescent="0.3">
      <c r="B3" s="456"/>
      <c r="C3" s="456"/>
      <c r="D3" s="456"/>
      <c r="E3" s="456"/>
    </row>
    <row r="5" spans="2:7" x14ac:dyDescent="0.3">
      <c r="B5" s="277">
        <v>1</v>
      </c>
    </row>
    <row r="6" spans="2:7" x14ac:dyDescent="0.3">
      <c r="B6" s="240"/>
    </row>
    <row r="7" spans="2:7" x14ac:dyDescent="0.3">
      <c r="B7" s="240"/>
    </row>
    <row r="9" spans="2:7" x14ac:dyDescent="0.3">
      <c r="B9" s="204"/>
      <c r="C9" s="204" t="str">
        <f>'Grasland (blijvend) huidig'!C8</f>
        <v>Gem. opbrengst</v>
      </c>
      <c r="D9" s="303" t="s">
        <v>133</v>
      </c>
      <c r="E9" s="204" t="s">
        <v>102</v>
      </c>
      <c r="F9" t="s">
        <v>55</v>
      </c>
    </row>
    <row r="10" spans="2:7" x14ac:dyDescent="0.3">
      <c r="B10" s="44" t="str">
        <f>'Grasland (blijvend) huidig'!B9</f>
        <v>Opbrengst in KG DS</v>
      </c>
      <c r="C10" s="44">
        <f>'Grasland (blijvend) huidig'!C9</f>
        <v>9500</v>
      </c>
      <c r="D10" s="68">
        <f>IF('Grasland (blijvend) huidig'!D9=0,'Grasland (blijvend) huidig'!C9,'Grasland (blijvend) huidig'!D9)</f>
        <v>9500</v>
      </c>
      <c r="E10" s="287"/>
      <c r="F10" s="86"/>
      <c r="G10" s="86"/>
    </row>
    <row r="11" spans="2:7" x14ac:dyDescent="0.3">
      <c r="B11" s="44" t="str">
        <f>'Grasland (blijvend) huidig'!B10</f>
        <v>VEM per KG DS</v>
      </c>
      <c r="C11" s="44">
        <f>'Grasland (blijvend) huidig'!C10</f>
        <v>905</v>
      </c>
      <c r="D11" s="68">
        <f>IF('Grasland (blijvend) huidig'!D10=0,'Grasland (blijvend) huidig'!C10,'Grasland (blijvend) huidig'!D10)</f>
        <v>905</v>
      </c>
      <c r="E11" s="287"/>
      <c r="F11" s="86"/>
      <c r="G11" s="86"/>
    </row>
    <row r="12" spans="2:7" x14ac:dyDescent="0.3">
      <c r="B12" s="44" t="str">
        <f>'Grasland (blijvend) huidig'!B11</f>
        <v>DVE per KG DS</v>
      </c>
      <c r="C12" s="44">
        <f>'Grasland (blijvend) huidig'!C11</f>
        <v>72</v>
      </c>
      <c r="D12" s="68">
        <f>IF('Grasland (blijvend) huidig'!D11=0,'Grasland (blijvend) huidig'!C11,'Grasland (blijvend) huidig'!D11)</f>
        <v>72</v>
      </c>
      <c r="E12" s="287"/>
      <c r="F12" s="86"/>
      <c r="G12" s="86"/>
    </row>
    <row r="13" spans="2:7" x14ac:dyDescent="0.3">
      <c r="B13" s="300"/>
      <c r="C13" s="300"/>
      <c r="D13" s="300"/>
      <c r="E13" s="300"/>
      <c r="F13" s="86"/>
      <c r="G13" s="86"/>
    </row>
    <row r="14" spans="2:7" x14ac:dyDescent="0.3">
      <c r="B14" s="204" t="str">
        <f>'Grasland (blijvend) huidig'!B13</f>
        <v>(door)zaaien</v>
      </c>
      <c r="C14" s="204" t="str">
        <f>'Grasland (blijvend) huidig'!C13</f>
        <v>Gem. kosten</v>
      </c>
      <c r="D14" s="303" t="s">
        <v>133</v>
      </c>
      <c r="E14" s="204" t="s">
        <v>102</v>
      </c>
    </row>
    <row r="15" spans="2:7" x14ac:dyDescent="0.3">
      <c r="B15" s="44" t="str">
        <f>'Grasland (blijvend) huidig'!B14</f>
        <v>Spuiten glyfosaat</v>
      </c>
      <c r="C15" s="48">
        <f>'Grasland (blijvend) huidig'!C14</f>
        <v>0</v>
      </c>
      <c r="D15" s="103">
        <f>IF('Grasland (blijvend) huidig'!D14=0,'Grasland (blijvend) huidig'!C14,'Grasland (blijvend) huidig'!D14)</f>
        <v>0</v>
      </c>
      <c r="E15" s="285"/>
    </row>
    <row r="16" spans="2:7" x14ac:dyDescent="0.3">
      <c r="B16" s="44" t="str">
        <f>'Grasland (blijvend) huidig'!B15</f>
        <v>Frezen + ploegen</v>
      </c>
      <c r="C16" s="48">
        <f>'Grasland (blijvend) huidig'!C15</f>
        <v>0</v>
      </c>
      <c r="D16" s="103">
        <f>IF('Grasland (blijvend) huidig'!D15=0,'Grasland (blijvend) huidig'!C15,'Grasland (blijvend) huidig'!D15)</f>
        <v>0</v>
      </c>
      <c r="E16" s="285"/>
    </row>
    <row r="17" spans="2:5" x14ac:dyDescent="0.3">
      <c r="B17" s="44" t="str">
        <f>'Grasland (blijvend) huidig'!B16</f>
        <v>Zaaien</v>
      </c>
      <c r="C17" s="48">
        <f>'Grasland (blijvend) huidig'!C16</f>
        <v>98</v>
      </c>
      <c r="D17" s="103">
        <f>IF('Grasland (blijvend) huidig'!D16=0,'Grasland (blijvend) huidig'!C16,'Grasland (blijvend) huidig'!D16)</f>
        <v>98</v>
      </c>
      <c r="E17" s="285"/>
    </row>
    <row r="18" spans="2:5" x14ac:dyDescent="0.3">
      <c r="B18" s="44" t="str">
        <f>'Grasland (blijvend) huidig'!B17</f>
        <v>Zaaizaad</v>
      </c>
      <c r="C18" s="48">
        <f>'Grasland (blijvend) huidig'!C17</f>
        <v>169</v>
      </c>
      <c r="D18" s="103">
        <f>IF('Grasland (blijvend) huidig'!D17=0,'Grasland (blijvend) huidig'!C17,'Grasland (blijvend) huidig'!D17)</f>
        <v>169</v>
      </c>
      <c r="E18" s="285"/>
    </row>
    <row r="19" spans="2:5" x14ac:dyDescent="0.3">
      <c r="B19" s="44" t="str">
        <f>'Grasland (blijvend) huidig'!B18</f>
        <v>Hoeveel jaar</v>
      </c>
      <c r="C19" s="115">
        <f>'Grasland (blijvend) huidig'!C18</f>
        <v>3</v>
      </c>
      <c r="D19" s="116">
        <f>IF('Grasland (blijvend) huidig'!D18=0,'Grasland (blijvend) huidig'!C18,'Grasland (blijvend) huidig'!D18)</f>
        <v>3</v>
      </c>
      <c r="E19" s="297"/>
    </row>
    <row r="20" spans="2:5" x14ac:dyDescent="0.3">
      <c r="B20" s="307" t="str">
        <f>'Grasland (blijvend) huidig'!B19</f>
        <v>Kosten per jaar</v>
      </c>
      <c r="C20" s="306">
        <f>'Grasland (blijvend) huidig'!C19</f>
        <v>89</v>
      </c>
      <c r="D20" s="105">
        <f>IF('Grasland (blijvend) huidig'!D19=0,'Grasland (blijvend) huidig'!C19,'Grasland (blijvend) huidig'!D19)</f>
        <v>89</v>
      </c>
      <c r="E20" s="308">
        <f>IF(E19&gt;0,(IF(E15=0,C15,E15)+IF(E16=0,C16,E16)+IF(E17=0,C17,E17)+IF(E18=0,C18,E18))/IF(E19=0,C19,E19),IF(E19="",(IF(E15=0,C15,E15)+IF(E16=0,C16,E16)+IF(E17=0,C17,E17)+IF(E18=0,C18,E18))/IF(E19=0,C19,E19),0))</f>
        <v>89</v>
      </c>
    </row>
    <row r="21" spans="2:5" x14ac:dyDescent="0.3">
      <c r="B21" s="300"/>
      <c r="C21" s="300"/>
      <c r="D21" s="301"/>
      <c r="E21" s="300"/>
    </row>
    <row r="22" spans="2:5" x14ac:dyDescent="0.3">
      <c r="B22" s="204" t="str">
        <f>'Grasland (blijvend) huidig'!B21</f>
        <v>Bemesten</v>
      </c>
      <c r="C22" s="204"/>
      <c r="D22" s="304"/>
      <c r="E22" s="204"/>
    </row>
    <row r="23" spans="2:5" x14ac:dyDescent="0.3">
      <c r="B23" s="44" t="str">
        <f>'Grasland (blijvend) huidig'!B22</f>
        <v>Dierlijke mest uitrijden</v>
      </c>
      <c r="C23" s="48">
        <f>'Grasland (blijvend) huidig'!C22</f>
        <v>125</v>
      </c>
      <c r="D23" s="103">
        <f>IF('Grasland (blijvend) huidig'!D22=0,'Grasland (blijvend) huidig'!C22,'Grasland (blijvend) huidig'!D22)</f>
        <v>125</v>
      </c>
      <c r="E23" s="285"/>
    </row>
    <row r="24" spans="2:5" x14ac:dyDescent="0.3">
      <c r="B24" s="44" t="str">
        <f>'Grasland (blijvend) huidig'!B23</f>
        <v>Kunstmest aanvoer (of dergelijken)</v>
      </c>
      <c r="C24" s="48">
        <f>'Grasland (blijvend) huidig'!C23</f>
        <v>140</v>
      </c>
      <c r="D24" s="103">
        <f>IF('Grasland (blijvend) huidig'!D23=0,'Grasland (blijvend) huidig'!C23,'Grasland (blijvend) huidig'!D23)</f>
        <v>140</v>
      </c>
      <c r="E24" s="285"/>
    </row>
    <row r="25" spans="2:5" x14ac:dyDescent="0.3">
      <c r="B25" s="44" t="str">
        <f>'Grasland (blijvend) huidig'!B24</f>
        <v>Kunstmest strooien</v>
      </c>
      <c r="C25" s="48">
        <f>'Grasland (blijvend) huidig'!C24</f>
        <v>57</v>
      </c>
      <c r="D25" s="103">
        <f>IF('Grasland (blijvend) huidig'!D24=0,'Grasland (blijvend) huidig'!C24,'Grasland (blijvend) huidig'!D24)</f>
        <v>57</v>
      </c>
      <c r="E25" s="285"/>
    </row>
    <row r="26" spans="2:5" x14ac:dyDescent="0.3">
      <c r="B26" s="307" t="str">
        <f>'Grasland (blijvend) huidig'!B25</f>
        <v>Kosten per jaar</v>
      </c>
      <c r="C26" s="306">
        <f>'Grasland (blijvend) huidig'!C25</f>
        <v>322</v>
      </c>
      <c r="D26" s="105">
        <f>IF('Grasland (blijvend) huidig'!D25=0,'Grasland (blijvend) huidig'!C25,'Grasland (blijvend) huidig'!D25)</f>
        <v>322</v>
      </c>
      <c r="E26" s="308">
        <f>IF(E25=0,C25,E25)+IF(E22=0,C22,E22)+IF(E23=0,C23,E23)+IF(E24=0,C24,E24)</f>
        <v>322</v>
      </c>
    </row>
    <row r="27" spans="2:5" x14ac:dyDescent="0.3">
      <c r="B27" s="300"/>
      <c r="C27" s="300"/>
      <c r="D27" s="301"/>
      <c r="E27" s="300"/>
    </row>
    <row r="28" spans="2:5" x14ac:dyDescent="0.3">
      <c r="B28" s="204" t="str">
        <f>'Grasland (blijvend) huidig'!B27</f>
        <v>Gewasbescherming</v>
      </c>
      <c r="C28" s="204"/>
      <c r="D28" s="304"/>
      <c r="E28" s="204"/>
    </row>
    <row r="29" spans="2:5" x14ac:dyDescent="0.3">
      <c r="B29" s="44" t="str">
        <f>'Grasland (blijvend) huidig'!B28</f>
        <v>1x spuiten (incl GBM)</v>
      </c>
      <c r="C29" s="48">
        <f>'Grasland (blijvend) huidig'!C28</f>
        <v>103</v>
      </c>
      <c r="D29" s="103">
        <f>IF('Grasland (blijvend) huidig'!D28=0,'Grasland (blijvend) huidig'!C28,'Grasland (blijvend) huidig'!D28)</f>
        <v>103</v>
      </c>
      <c r="E29" s="285"/>
    </row>
    <row r="30" spans="2:5" x14ac:dyDescent="0.3">
      <c r="B30" s="44" t="str">
        <f>'Grasland (blijvend) huidig'!B29</f>
        <v>Aantal keer spuiten per 10 jaar</v>
      </c>
      <c r="C30" s="115">
        <f>'Grasland (blijvend) huidig'!C29</f>
        <v>2</v>
      </c>
      <c r="D30" s="116">
        <f>IF('Grasland (blijvend) huidig'!D29=0,'Grasland (blijvend) huidig'!C29,'Grasland (blijvend) huidig'!D29)</f>
        <v>2</v>
      </c>
      <c r="E30" s="297"/>
    </row>
    <row r="31" spans="2:5" x14ac:dyDescent="0.3">
      <c r="B31" s="307" t="str">
        <f>'Grasland (blijvend) huidig'!B30</f>
        <v>Kosten per jaar</v>
      </c>
      <c r="C31" s="306">
        <f>'Grasland (blijvend) huidig'!C30</f>
        <v>20.6</v>
      </c>
      <c r="D31" s="105">
        <f>IF('Grasland (blijvend) huidig'!D30=0,'Grasland (blijvend) huidig'!C30,'Grasland (blijvend) huidig'!D30)</f>
        <v>20.6</v>
      </c>
      <c r="E31" s="308">
        <f>IF(E29=0,C29,E29)*IF(E30=0,C30,E30)/10</f>
        <v>20.6</v>
      </c>
    </row>
    <row r="32" spans="2:5" x14ac:dyDescent="0.3">
      <c r="B32" s="300"/>
      <c r="C32" s="300"/>
      <c r="D32" s="301"/>
      <c r="E32" s="300"/>
    </row>
    <row r="33" spans="2:8" x14ac:dyDescent="0.3">
      <c r="B33" s="204" t="str">
        <f>'Grasland (blijvend) huidig'!B32</f>
        <v>Oogsten</v>
      </c>
      <c r="C33" s="204"/>
      <c r="D33" s="304"/>
      <c r="E33" s="204"/>
      <c r="H33" s="9" t="s">
        <v>55</v>
      </c>
    </row>
    <row r="34" spans="2:8" x14ac:dyDescent="0.3">
      <c r="B34" s="44" t="str">
        <f>'Grasland (blijvend) huidig'!B33</f>
        <v>Maaisnedes per jaar</v>
      </c>
      <c r="C34" s="115">
        <f>'Grasland (blijvend) huidig'!C33</f>
        <v>5</v>
      </c>
      <c r="D34" s="116">
        <f>IF('Grasland (blijvend) huidig'!D33=0,'Grasland (blijvend) huidig'!C33,'Grasland (blijvend) huidig'!D33)</f>
        <v>5</v>
      </c>
      <c r="E34" s="297"/>
      <c r="H34" s="38"/>
    </row>
    <row r="35" spans="2:8" x14ac:dyDescent="0.3">
      <c r="B35" s="44" t="str">
        <f>'Grasland (blijvend) huidig'!B34</f>
        <v>Maaien, schudden, Harken, oprapen</v>
      </c>
      <c r="C35" s="48">
        <f>'Grasland (blijvend) huidig'!C34</f>
        <v>146</v>
      </c>
      <c r="D35" s="103">
        <f>IF('Grasland (blijvend) huidig'!D34=0,'Grasland (blijvend) huidig'!C34,'Grasland (blijvend) huidig'!D34)</f>
        <v>146</v>
      </c>
      <c r="E35" s="285"/>
    </row>
    <row r="36" spans="2:8" x14ac:dyDescent="0.3">
      <c r="B36" s="44" t="str">
        <f>'Grasland (blijvend) huidig'!B35</f>
        <v>Toevoegmiddelen</v>
      </c>
      <c r="C36" s="48">
        <f>'Grasland (blijvend) huidig'!C35</f>
        <v>31</v>
      </c>
      <c r="D36" s="103">
        <f>IF('Grasland (blijvend) huidig'!D35=0,'Grasland (blijvend) huidig'!C35,'Grasland (blijvend) huidig'!D35)</f>
        <v>31</v>
      </c>
      <c r="E36" s="285"/>
    </row>
    <row r="37" spans="2:8" x14ac:dyDescent="0.3">
      <c r="B37" s="307" t="str">
        <f>'Grasland (blijvend) huidig'!B36</f>
        <v>Kosten per jaar</v>
      </c>
      <c r="C37" s="306">
        <f>'Grasland (blijvend) huidig'!C36</f>
        <v>761</v>
      </c>
      <c r="D37" s="105">
        <f>IF('Grasland (blijvend) huidig'!D36=0,'Grasland (blijvend) huidig'!C36,'Grasland (blijvend) huidig'!D36)</f>
        <v>761</v>
      </c>
      <c r="E37" s="308">
        <f>(IF(E34=0,C34,E34)*IF(E35=0,C35,E35))+IF(E36=0,C36,E36)</f>
        <v>761</v>
      </c>
    </row>
    <row r="38" spans="2:8" x14ac:dyDescent="0.3">
      <c r="B38" s="300"/>
      <c r="C38" s="300"/>
      <c r="D38" s="301"/>
      <c r="E38" s="300"/>
    </row>
    <row r="39" spans="2:8" x14ac:dyDescent="0.3">
      <c r="B39" s="44" t="str">
        <f>'Grasland (blijvend) huidig'!B38</f>
        <v>Kosten per Ha</v>
      </c>
      <c r="C39" s="48">
        <f>'Grasland (blijvend) huidig'!C38</f>
        <v>1192.5999999999999</v>
      </c>
      <c r="D39" s="103">
        <f>IF('Grasland (blijvend) huidig'!D38=0,'Grasland (blijvend) huidig'!C38,'Grasland (blijvend) huidig'!D38)</f>
        <v>1192.5999999999999</v>
      </c>
      <c r="E39" s="298">
        <f>E37+E31+E26+E20</f>
        <v>1192.5999999999999</v>
      </c>
    </row>
    <row r="40" spans="2:8" x14ac:dyDescent="0.3">
      <c r="B40" s="44" t="str">
        <f>'Grasland (blijvend) huidig'!B39</f>
        <v>Kosten per KG DS</v>
      </c>
      <c r="C40" s="47">
        <f>'Grasland (blijvend) huidig'!C39</f>
        <v>0.12553684210526314</v>
      </c>
      <c r="D40" s="102">
        <f>IF('Grasland (blijvend) huidig'!D39=0,'Grasland (blijvend) huidig'!C39,'Grasland (blijvend) huidig'!D39)</f>
        <v>0.12553684210526314</v>
      </c>
      <c r="E40" s="299">
        <f>IF(E10=0,E39/C10,E39/E10)</f>
        <v>0.12553684210526314</v>
      </c>
    </row>
    <row r="41" spans="2:8" x14ac:dyDescent="0.3">
      <c r="B41" s="44" t="str">
        <f>'Grasland (blijvend) huidig'!B40</f>
        <v>Kosten per kVEM</v>
      </c>
      <c r="C41" s="47">
        <f>'Grasland (blijvend) huidig'!C40</f>
        <v>0.13871474265774933</v>
      </c>
      <c r="D41" s="102">
        <f>IF('Grasland (blijvend) huidig'!D40=0,'Grasland (blijvend) huidig'!C40,'Grasland (blijvend) huidig'!D40)</f>
        <v>0.13871474265774933</v>
      </c>
      <c r="E41" s="299">
        <f>IF(E10=0,IF(E11=0,E39/(C10*C11),E39/C10*E11),IF(E11=0,E39/(E10*C11),E39/E10*E11))*1000</f>
        <v>0.13871474265774933</v>
      </c>
    </row>
  </sheetData>
  <sheetProtection sheet="1" objects="1" scenarios="1" selectLockedCells="1"/>
  <mergeCells count="1">
    <mergeCell ref="B2:E3"/>
  </mergeCells>
  <conditionalFormatting sqref="D10:D12 D15:D41">
    <cfRule type="expression" dxfId="55" priority="97">
      <formula>$B$5=2</formula>
    </cfRule>
  </conditionalFormatting>
  <conditionalFormatting sqref="E10:E12 E15:E41">
    <cfRule type="expression" dxfId="54" priority="99">
      <formula>$B$5&lt;3</formula>
    </cfRule>
  </conditionalFormatting>
  <conditionalFormatting sqref="E9 E14">
    <cfRule type="expression" dxfId="53" priority="2">
      <formula>$B$5&lt;3</formula>
    </cfRule>
  </conditionalFormatting>
  <conditionalFormatting sqref="D9 D14 D22 D28 D33 D37 D31 D26 D20">
    <cfRule type="expression" dxfId="52" priority="1">
      <formula>$B$5=2</formula>
    </cfRule>
  </conditionalFormatting>
  <dataValidations count="1">
    <dataValidation type="decimal" operator="greaterThanOrEqual" allowBlank="1" showInputMessage="1" showErrorMessage="1" errorTitle="Fout" error="Typ een getal groter of gelijk aan 0." sqref="E10:E12 E15:E19 E23 E24 E25 E29 E30 E34 E35 E36" xr:uid="{C1FD0636-5FAD-48FB-BD63-50203A6645D3}">
      <formula1>0</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1507" r:id="rId4" name="Option Button 3">
              <controlPr defaultSize="0" autoFill="0" autoLine="0" autoPict="0">
                <anchor moveWithCells="1">
                  <from>
                    <xdr:col>1</xdr:col>
                    <xdr:colOff>0</xdr:colOff>
                    <xdr:row>4</xdr:row>
                    <xdr:rowOff>0</xdr:rowOff>
                  </from>
                  <to>
                    <xdr:col>2</xdr:col>
                    <xdr:colOff>0</xdr:colOff>
                    <xdr:row>5</xdr:row>
                    <xdr:rowOff>0</xdr:rowOff>
                  </to>
                </anchor>
              </controlPr>
            </control>
          </mc:Choice>
        </mc:AlternateContent>
        <mc:AlternateContent xmlns:mc="http://schemas.openxmlformats.org/markup-compatibility/2006">
          <mc:Choice Requires="x14">
            <control shapeId="21508" r:id="rId5" name="Option Button 4">
              <controlPr defaultSize="0" autoFill="0" autoLine="0" autoPict="0">
                <anchor moveWithCells="1">
                  <from>
                    <xdr:col>1</xdr:col>
                    <xdr:colOff>0</xdr:colOff>
                    <xdr:row>5</xdr:row>
                    <xdr:rowOff>0</xdr:rowOff>
                  </from>
                  <to>
                    <xdr:col>2</xdr:col>
                    <xdr:colOff>0</xdr:colOff>
                    <xdr:row>6</xdr:row>
                    <xdr:rowOff>0</xdr:rowOff>
                  </to>
                </anchor>
              </controlPr>
            </control>
          </mc:Choice>
        </mc:AlternateContent>
        <mc:AlternateContent xmlns:mc="http://schemas.openxmlformats.org/markup-compatibility/2006">
          <mc:Choice Requires="x14">
            <control shapeId="21509" r:id="rId6" name="Option Button 5">
              <controlPr defaultSize="0" autoFill="0" autoLine="0" autoPict="0">
                <anchor moveWithCells="1">
                  <from>
                    <xdr:col>1</xdr:col>
                    <xdr:colOff>0</xdr:colOff>
                    <xdr:row>6</xdr:row>
                    <xdr:rowOff>7620</xdr:rowOff>
                  </from>
                  <to>
                    <xdr:col>2</xdr:col>
                    <xdr:colOff>0</xdr:colOff>
                    <xdr:row>7</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1B5E6F-0DF8-4447-9C33-2D986AAC547E}">
  <sheetPr codeName="Blad5">
    <tabColor theme="8" tint="0.59999389629810485"/>
  </sheetPr>
  <dimension ref="B4:X50"/>
  <sheetViews>
    <sheetView showGridLines="0" zoomScale="80" zoomScaleNormal="80" workbookViewId="0">
      <selection activeCell="C12" sqref="C12"/>
    </sheetView>
  </sheetViews>
  <sheetFormatPr defaultColWidth="8.77734375" defaultRowHeight="14.4" x14ac:dyDescent="0.3"/>
  <cols>
    <col min="1" max="1" width="2.77734375" style="4" customWidth="1"/>
    <col min="2" max="2" width="19.5546875" style="4" customWidth="1"/>
    <col min="3" max="3" width="12.44140625" style="4" customWidth="1"/>
    <col min="4" max="4" width="15.77734375" style="4" bestFit="1" customWidth="1"/>
    <col min="5" max="5" width="11.44140625" style="4" customWidth="1"/>
    <col min="6" max="6" width="0.77734375" style="4" customWidth="1"/>
    <col min="7" max="7" width="17.5546875" style="27" bestFit="1" customWidth="1"/>
    <col min="8" max="8" width="5.77734375" customWidth="1"/>
    <col min="9" max="9" width="19.5546875" style="4" customWidth="1"/>
    <col min="10" max="10" width="12.44140625" style="4" customWidth="1"/>
    <col min="11" max="11" width="16.77734375" style="51" bestFit="1" customWidth="1"/>
    <col min="12" max="12" width="11.44140625" style="4" customWidth="1"/>
    <col min="13" max="13" width="0.77734375" style="4" customWidth="1"/>
    <col min="14" max="14" width="17.5546875" style="32" bestFit="1" customWidth="1"/>
    <col min="15" max="15" width="0.77734375" style="12" customWidth="1"/>
    <col min="16" max="16" width="23.44140625" style="41" bestFit="1" customWidth="1"/>
    <col min="17" max="17" width="15.77734375" style="41" customWidth="1"/>
    <col min="18" max="18" width="6.77734375" style="41" customWidth="1"/>
    <col min="19" max="19" width="15.77734375" style="41" customWidth="1"/>
    <col min="20" max="20" width="6.77734375" style="41" customWidth="1"/>
    <col min="21" max="23" width="8.77734375" style="41"/>
    <col min="24" max="16384" width="8.77734375" style="4"/>
  </cols>
  <sheetData>
    <row r="4" spans="2:24" ht="14.55" customHeight="1" x14ac:dyDescent="0.3">
      <c r="B4" s="341" t="s">
        <v>2</v>
      </c>
      <c r="C4" s="341"/>
      <c r="D4" s="341"/>
      <c r="E4" s="341"/>
      <c r="F4" s="341"/>
      <c r="G4" s="341"/>
      <c r="H4" s="341"/>
      <c r="I4" s="341"/>
      <c r="J4" s="341"/>
      <c r="K4" s="341"/>
      <c r="Q4" s="10" t="s">
        <v>58</v>
      </c>
      <c r="R4" s="10"/>
      <c r="S4" s="10" t="s">
        <v>59</v>
      </c>
      <c r="T4" s="10"/>
    </row>
    <row r="5" spans="2:24" ht="14.55" customHeight="1" x14ac:dyDescent="0.3">
      <c r="B5" s="341"/>
      <c r="C5" s="341"/>
      <c r="D5" s="341"/>
      <c r="E5" s="341"/>
      <c r="F5" s="341"/>
      <c r="G5" s="341"/>
      <c r="H5" s="341"/>
      <c r="I5" s="341"/>
      <c r="J5" s="341"/>
      <c r="K5" s="341"/>
      <c r="Q5" s="10" t="s">
        <v>138</v>
      </c>
      <c r="R5" s="159">
        <f>IF(C44=0,0,ROUND(((C12+C14+C16+C18+C20+C22)/C44*100),0))</f>
        <v>0</v>
      </c>
      <c r="S5" s="10" t="s">
        <v>138</v>
      </c>
      <c r="T5" s="10">
        <f>IF(J44=0,0,ROUND(((J12+J14+J16+J18+J20+J22)/J44*100),0))</f>
        <v>0</v>
      </c>
    </row>
    <row r="6" spans="2:24" ht="14.55" customHeight="1" x14ac:dyDescent="0.3">
      <c r="Q6" s="10" t="s">
        <v>176</v>
      </c>
      <c r="R6" s="159">
        <f>IF(C44=0,0,ROUND(((C24+C28+C26+C30)/C44*100),0))</f>
        <v>0</v>
      </c>
      <c r="S6" s="10" t="s">
        <v>176</v>
      </c>
      <c r="T6" s="10">
        <f>IF(J44=0,0,ROUND(((J28+J26+J24+J30)/J44*100),0))</f>
        <v>0</v>
      </c>
    </row>
    <row r="7" spans="2:24" ht="14.55" customHeight="1" x14ac:dyDescent="0.3">
      <c r="B7" s="343" t="s">
        <v>22</v>
      </c>
      <c r="C7" s="343"/>
      <c r="D7" s="343"/>
      <c r="E7" s="343"/>
      <c r="F7" s="62"/>
      <c r="H7" s="63"/>
      <c r="I7" s="343" t="s">
        <v>23</v>
      </c>
      <c r="J7" s="343"/>
      <c r="K7" s="343"/>
      <c r="L7" s="343"/>
      <c r="M7" s="62"/>
      <c r="Q7" s="10" t="s">
        <v>36</v>
      </c>
      <c r="R7" s="159">
        <f>IF(C44=0,0,ROUND(((C34+C36+C38+C40+C42)/C44*100),0))</f>
        <v>0</v>
      </c>
      <c r="S7" s="10" t="s">
        <v>36</v>
      </c>
      <c r="T7" s="10">
        <f>IF(J44=0,0,ROUND(((J34+J36+J38+J40+J42)/J44*100),0))</f>
        <v>0</v>
      </c>
      <c r="U7" s="27"/>
      <c r="V7" s="1"/>
    </row>
    <row r="8" spans="2:24" x14ac:dyDescent="0.3">
      <c r="B8" s="343"/>
      <c r="C8" s="343"/>
      <c r="D8" s="343"/>
      <c r="E8" s="343"/>
      <c r="F8" s="62"/>
      <c r="H8" s="63"/>
      <c r="I8" s="343"/>
      <c r="J8" s="343"/>
      <c r="K8" s="343"/>
      <c r="L8" s="343"/>
      <c r="M8" s="62"/>
      <c r="U8" s="27"/>
      <c r="V8" s="1"/>
      <c r="X8" s="41"/>
    </row>
    <row r="9" spans="2:24" ht="5.55" customHeight="1" x14ac:dyDescent="0.3">
      <c r="B9" s="344"/>
      <c r="C9" s="344"/>
      <c r="D9" s="344"/>
      <c r="E9" s="344"/>
      <c r="F9" s="161"/>
      <c r="G9" s="199"/>
      <c r="H9" s="200"/>
      <c r="I9" s="344"/>
      <c r="J9" s="344"/>
      <c r="K9" s="344"/>
      <c r="L9" s="344"/>
      <c r="M9" s="161"/>
      <c r="N9" s="201"/>
    </row>
    <row r="10" spans="2:24" x14ac:dyDescent="0.3">
      <c r="B10" s="198" t="s">
        <v>25</v>
      </c>
      <c r="C10" s="193" t="s">
        <v>6</v>
      </c>
      <c r="D10" s="195" t="s">
        <v>24</v>
      </c>
      <c r="E10" s="193" t="s">
        <v>8</v>
      </c>
      <c r="F10" s="161"/>
      <c r="G10" s="199"/>
      <c r="H10" s="200"/>
      <c r="I10" s="198" t="s">
        <v>25</v>
      </c>
      <c r="J10" s="193" t="s">
        <v>6</v>
      </c>
      <c r="K10" s="195" t="s">
        <v>24</v>
      </c>
      <c r="L10" s="193" t="s">
        <v>8</v>
      </c>
      <c r="M10" s="161"/>
      <c r="N10" s="201"/>
    </row>
    <row r="11" spans="2:24" customFormat="1" ht="3" customHeight="1" x14ac:dyDescent="0.3">
      <c r="B11" s="11"/>
      <c r="C11" s="11"/>
      <c r="D11" s="11"/>
      <c r="E11" s="11"/>
      <c r="G11" s="27"/>
      <c r="I11" s="11"/>
      <c r="J11" s="11"/>
      <c r="K11" s="18"/>
      <c r="L11" s="11"/>
      <c r="N11" s="27"/>
      <c r="O11" s="57"/>
      <c r="P11" s="1"/>
      <c r="Q11" s="1"/>
      <c r="R11" s="1"/>
      <c r="S11" s="1"/>
      <c r="T11" s="1"/>
      <c r="U11" s="1"/>
      <c r="V11" s="1"/>
      <c r="W11" s="1"/>
    </row>
    <row r="12" spans="2:24" x14ac:dyDescent="0.3">
      <c r="B12" s="3" t="s">
        <v>26</v>
      </c>
      <c r="C12" s="280"/>
      <c r="D12" s="18">
        <f>IF('Grasland (blijvend) huidig'!B5=1,'Grasland (blijvend) huidig'!C38,'Grasland (blijvend) huidig'!D38)</f>
        <v>1192.5999999999999</v>
      </c>
      <c r="E12" s="18">
        <f>C12*D12</f>
        <v>0</v>
      </c>
      <c r="F12" s="20"/>
      <c r="G12" s="309" t="s">
        <v>27</v>
      </c>
      <c r="H12" s="58"/>
      <c r="I12" s="3" t="s">
        <v>26</v>
      </c>
      <c r="J12" s="280"/>
      <c r="K12" s="18">
        <f>IF('Grasland (blijvend) nieuw'!$B$5=1,'Grasland (blijvend) nieuw'!$C$39,IF('Grasland (blijvend) nieuw'!$B$5=2,'Grasland (blijvend) nieuw'!$D$39,'Grasland (blijvend) nieuw'!$E$39))</f>
        <v>1192.5999999999999</v>
      </c>
      <c r="L12" s="2">
        <f>J12*K12</f>
        <v>0</v>
      </c>
      <c r="M12" s="8"/>
      <c r="N12" s="309" t="s">
        <v>27</v>
      </c>
      <c r="O12" s="59"/>
    </row>
    <row r="13" spans="2:24" customFormat="1" ht="3" customHeight="1" x14ac:dyDescent="0.3">
      <c r="B13" s="11"/>
      <c r="C13" s="11"/>
      <c r="D13" s="18"/>
      <c r="E13" s="18"/>
      <c r="F13" s="20"/>
      <c r="G13" s="28"/>
      <c r="H13" s="58"/>
      <c r="I13" s="11"/>
      <c r="J13" s="11"/>
      <c r="K13" s="18"/>
      <c r="L13" s="18"/>
      <c r="M13" s="13"/>
      <c r="N13" s="33"/>
      <c r="O13" s="60"/>
      <c r="P13" s="1"/>
      <c r="Q13" s="1"/>
      <c r="R13" s="1"/>
      <c r="S13" s="1"/>
      <c r="T13" s="1"/>
      <c r="U13" s="1"/>
      <c r="V13" s="1"/>
      <c r="W13" s="1"/>
    </row>
    <row r="14" spans="2:24" x14ac:dyDescent="0.3">
      <c r="B14" s="3" t="s">
        <v>28</v>
      </c>
      <c r="C14" s="280"/>
      <c r="D14" s="18">
        <f>IF('Grasland (tijdelijk) huidig'!B5=1,'Grasland (tijdelijk) huidig'!C38,'Grasland (tijdelijk) huidig'!D38)</f>
        <v>1257.5999999999999</v>
      </c>
      <c r="E14" s="18">
        <f>C14*D14</f>
        <v>0</v>
      </c>
      <c r="F14" s="20"/>
      <c r="G14" s="309" t="s">
        <v>27</v>
      </c>
      <c r="H14" s="58"/>
      <c r="I14" s="3" t="s">
        <v>28</v>
      </c>
      <c r="J14" s="280"/>
      <c r="K14" s="18">
        <f>IF('Grasland (tijdelijk) nieuw'!$B$5=1,'Grasland (tijdelijk) nieuw'!$C$39,IF('Grasland (tijdelijk) nieuw'!$B$5=2,'Grasland (tijdelijk) nieuw'!$D$39,'Grasland (tijdelijk) nieuw'!$E$39))</f>
        <v>1257.5999999999999</v>
      </c>
      <c r="L14" s="2">
        <f>J14*K14</f>
        <v>0</v>
      </c>
      <c r="M14" s="8"/>
      <c r="N14" s="309" t="s">
        <v>27</v>
      </c>
      <c r="O14" s="59"/>
    </row>
    <row r="15" spans="2:24" customFormat="1" ht="3" customHeight="1" x14ac:dyDescent="0.3">
      <c r="B15" s="11"/>
      <c r="C15" s="11"/>
      <c r="D15" s="18"/>
      <c r="E15" s="18"/>
      <c r="F15" s="20"/>
      <c r="G15" s="28"/>
      <c r="H15" s="58"/>
      <c r="I15" s="11"/>
      <c r="J15" s="11"/>
      <c r="K15" s="18"/>
      <c r="L15" s="18"/>
      <c r="M15" s="13"/>
      <c r="N15" s="33"/>
      <c r="O15" s="60"/>
      <c r="P15" s="1"/>
      <c r="Q15" s="1"/>
      <c r="R15" s="1"/>
      <c r="S15" s="1"/>
      <c r="T15" s="1"/>
      <c r="U15" s="1"/>
      <c r="V15" s="1"/>
      <c r="W15" s="1"/>
    </row>
    <row r="16" spans="2:24" x14ac:dyDescent="0.3">
      <c r="B16" s="3" t="s">
        <v>29</v>
      </c>
      <c r="C16" s="280"/>
      <c r="D16" s="18">
        <f>IF('Grasklaver huidig'!B5=1,'Grasklaver huidig'!C38,'Grasklaver huidig'!D38)</f>
        <v>1240</v>
      </c>
      <c r="E16" s="18">
        <f>C16*D16</f>
        <v>0</v>
      </c>
      <c r="F16" s="20"/>
      <c r="G16" s="309" t="s">
        <v>27</v>
      </c>
      <c r="H16" s="58"/>
      <c r="I16" s="3" t="s">
        <v>29</v>
      </c>
      <c r="J16" s="280"/>
      <c r="K16" s="18">
        <f>IF('Grasklaver nieuw'!$B$5=1,'Grasklaver nieuw'!$C$39,IF('Grasklaver nieuw'!$B$5=2,'Grasklaver nieuw'!$D$39,'Grasklaver nieuw'!$E$39))</f>
        <v>1240</v>
      </c>
      <c r="L16" s="2">
        <f>J16*K16</f>
        <v>0</v>
      </c>
      <c r="M16" s="8"/>
      <c r="N16" s="309" t="s">
        <v>27</v>
      </c>
      <c r="O16" s="59"/>
    </row>
    <row r="17" spans="2:23" customFormat="1" ht="3" customHeight="1" x14ac:dyDescent="0.3">
      <c r="B17" s="11"/>
      <c r="C17" s="11"/>
      <c r="D17" s="18"/>
      <c r="E17" s="18"/>
      <c r="F17" s="20"/>
      <c r="G17" s="28"/>
      <c r="H17" s="58"/>
      <c r="I17" s="11"/>
      <c r="J17" s="11"/>
      <c r="K17" s="18"/>
      <c r="L17" s="18"/>
      <c r="M17" s="13"/>
      <c r="N17" s="33"/>
      <c r="O17" s="60"/>
      <c r="P17" s="1"/>
      <c r="Q17" s="1"/>
      <c r="R17" s="1"/>
      <c r="S17" s="1"/>
      <c r="T17" s="1"/>
      <c r="U17" s="1"/>
      <c r="V17" s="1"/>
      <c r="W17" s="1"/>
    </row>
    <row r="18" spans="2:23" x14ac:dyDescent="0.3">
      <c r="B18" s="3" t="s">
        <v>30</v>
      </c>
      <c r="C18" s="280"/>
      <c r="D18" s="18">
        <f>IF('Kruidenrijk grasland huidig'!B5=1,'Kruidenrijk grasland huidig'!C38,'Kruidenrijk grasland huidig'!D38)</f>
        <v>1053</v>
      </c>
      <c r="E18" s="18">
        <f t="shared" ref="E18:E40" si="0">C18*D18</f>
        <v>0</v>
      </c>
      <c r="F18" s="20"/>
      <c r="G18" s="309" t="s">
        <v>27</v>
      </c>
      <c r="H18" s="58"/>
      <c r="I18" s="3" t="s">
        <v>30</v>
      </c>
      <c r="J18" s="280"/>
      <c r="K18" s="18">
        <f>IF('Kruidenrijk grasland nieuw'!$B$5=1,'Kruidenrijk grasland nieuw'!$C$39,IF('Kruidenrijk grasland nieuw'!$B$5=2,'Kruidenrijk grasland nieuw'!$D$39,'Kruidenrijk grasland nieuw'!$E$39))</f>
        <v>1053</v>
      </c>
      <c r="L18" s="2">
        <f>J18*K18</f>
        <v>0</v>
      </c>
      <c r="M18" s="8"/>
      <c r="N18" s="309" t="s">
        <v>27</v>
      </c>
      <c r="O18" s="59"/>
    </row>
    <row r="19" spans="2:23" customFormat="1" ht="3" customHeight="1" x14ac:dyDescent="0.3">
      <c r="B19" s="11"/>
      <c r="C19" s="11"/>
      <c r="D19" s="18"/>
      <c r="E19" s="18"/>
      <c r="F19" s="20"/>
      <c r="G19" s="28"/>
      <c r="H19" s="58"/>
      <c r="I19" s="11"/>
      <c r="J19" s="11"/>
      <c r="K19" s="18"/>
      <c r="L19" s="2"/>
      <c r="M19" s="13"/>
      <c r="N19" s="33"/>
      <c r="O19" s="60"/>
      <c r="P19" s="1"/>
      <c r="Q19" s="1"/>
      <c r="R19" s="1"/>
      <c r="S19" s="1"/>
      <c r="T19" s="1"/>
      <c r="U19" s="1"/>
      <c r="V19" s="1"/>
      <c r="W19" s="1"/>
    </row>
    <row r="20" spans="2:23" x14ac:dyDescent="0.3">
      <c r="B20" s="3" t="s">
        <v>31</v>
      </c>
      <c r="C20" s="280"/>
      <c r="D20" s="18">
        <f>IF('Luzerne huidig'!B5=1,'Luzerne huidig'!C38,'Luzerne huidig'!D38)</f>
        <v>1354.6</v>
      </c>
      <c r="E20" s="18">
        <f t="shared" si="0"/>
        <v>0</v>
      </c>
      <c r="F20" s="20"/>
      <c r="G20" s="309" t="s">
        <v>27</v>
      </c>
      <c r="I20" s="3" t="s">
        <v>31</v>
      </c>
      <c r="J20" s="280"/>
      <c r="K20" s="48">
        <f>IF('Luzerne nieuw'!$B$5=1,'Luzerne nieuw'!$C$39,IF('Luzerne nieuw'!$B$5=2,'Luzerne nieuw'!$D$39,'Luzerne nieuw'!$E$39))</f>
        <v>1354.6</v>
      </c>
      <c r="L20" s="2">
        <f t="shared" ref="L20" si="1">J20*K20</f>
        <v>0</v>
      </c>
      <c r="N20" s="309" t="s">
        <v>27</v>
      </c>
      <c r="O20" s="59"/>
    </row>
    <row r="21" spans="2:23" customFormat="1" ht="3" customHeight="1" x14ac:dyDescent="0.3">
      <c r="F21" s="20"/>
      <c r="N21" s="1"/>
      <c r="O21" s="60"/>
      <c r="P21" s="1"/>
      <c r="Q21" s="1"/>
      <c r="R21" s="1"/>
      <c r="S21" s="1"/>
      <c r="T21" s="1"/>
      <c r="U21" s="1"/>
      <c r="V21" s="1"/>
      <c r="W21" s="1"/>
    </row>
    <row r="22" spans="2:23" x14ac:dyDescent="0.3">
      <c r="B22" s="3" t="s">
        <v>32</v>
      </c>
      <c r="C22" s="280"/>
      <c r="D22" s="18">
        <f>IF('Natuurgras huidig'!B5=1,'Natuurgras huidig'!C38,'Natuurgras huidig'!D38)</f>
        <v>594</v>
      </c>
      <c r="E22" s="18">
        <f>C22*D22</f>
        <v>0</v>
      </c>
      <c r="F22" s="20"/>
      <c r="G22" s="309" t="s">
        <v>27</v>
      </c>
      <c r="H22" s="58"/>
      <c r="I22" s="3" t="s">
        <v>32</v>
      </c>
      <c r="J22" s="280"/>
      <c r="K22" s="18">
        <f>IF('Natuurgras nieuw'!$B$5=1,'Natuurgras nieuw'!$C$39,IF('Natuurgras nieuw'!$B$5=2,'Natuurgras nieuw'!$D$39,'Natuurgras nieuw'!$E$39))</f>
        <v>594</v>
      </c>
      <c r="L22" s="2">
        <f>J22*K22</f>
        <v>0</v>
      </c>
      <c r="M22" s="8"/>
      <c r="N22" s="309" t="s">
        <v>27</v>
      </c>
      <c r="O22" s="59"/>
    </row>
    <row r="23" spans="2:23" customFormat="1" ht="3" customHeight="1" x14ac:dyDescent="0.3">
      <c r="B23" s="11"/>
      <c r="C23" s="11"/>
      <c r="D23" s="18"/>
      <c r="E23" s="18"/>
      <c r="F23" s="20"/>
      <c r="G23" s="28"/>
      <c r="H23" s="58"/>
      <c r="I23" s="11"/>
      <c r="J23" s="11"/>
      <c r="K23" s="18"/>
      <c r="L23" s="18"/>
      <c r="M23" s="13"/>
      <c r="N23" s="33"/>
      <c r="O23" s="60"/>
      <c r="P23" s="1"/>
      <c r="Q23" s="1"/>
      <c r="R23" s="1"/>
      <c r="S23" s="1"/>
      <c r="T23" s="1"/>
      <c r="U23" s="1"/>
      <c r="V23" s="1"/>
      <c r="W23" s="1"/>
    </row>
    <row r="24" spans="2:23" x14ac:dyDescent="0.3">
      <c r="B24" s="3" t="s">
        <v>135</v>
      </c>
      <c r="C24" s="280"/>
      <c r="D24" s="18">
        <f>IF('Maisland huidig'!B5=1,'Maisland huidig'!C35,'Maisland huidig'!D35)</f>
        <v>1229</v>
      </c>
      <c r="E24" s="18">
        <f>C24*D24</f>
        <v>0</v>
      </c>
      <c r="F24" s="20"/>
      <c r="G24" s="309" t="s">
        <v>27</v>
      </c>
      <c r="H24" s="58"/>
      <c r="I24" s="3" t="s">
        <v>135</v>
      </c>
      <c r="J24" s="280"/>
      <c r="K24" s="18">
        <f>IF('Maisland nieuw'!$B$5=1,'Maisland nieuw'!$C$36,IF('Maisland nieuw'!$B$5=2,'Maisland nieuw'!$D$36,'Maisland nieuw'!$E$36))</f>
        <v>1229</v>
      </c>
      <c r="L24" s="2">
        <f>J24*K24</f>
        <v>0</v>
      </c>
      <c r="M24" s="8"/>
      <c r="N24" s="309" t="s">
        <v>27</v>
      </c>
    </row>
    <row r="25" spans="2:23" customFormat="1" ht="3" customHeight="1" x14ac:dyDescent="0.3">
      <c r="B25" s="11"/>
      <c r="C25" s="11"/>
      <c r="D25" s="18"/>
      <c r="E25" s="18"/>
      <c r="F25" s="20"/>
      <c r="G25" s="28"/>
      <c r="H25" s="58"/>
      <c r="I25" s="11"/>
      <c r="J25" s="11"/>
      <c r="K25" s="18"/>
      <c r="L25" s="18"/>
      <c r="M25" s="13"/>
      <c r="N25" s="33"/>
      <c r="O25" s="57"/>
      <c r="P25" s="1"/>
      <c r="Q25" s="1"/>
      <c r="R25" s="1"/>
      <c r="S25" s="1"/>
      <c r="T25" s="1"/>
      <c r="U25" s="1"/>
      <c r="V25" s="1"/>
      <c r="W25" s="1"/>
    </row>
    <row r="26" spans="2:23" x14ac:dyDescent="0.3">
      <c r="B26" s="3" t="s">
        <v>34</v>
      </c>
      <c r="C26" s="280"/>
      <c r="D26" s="18">
        <f>IF('Voederbieten huidig'!B5=1,'Voederbieten huidig'!C35,'Voederbieten huidig'!D35)</f>
        <v>1858</v>
      </c>
      <c r="E26" s="18">
        <f>C26*D26</f>
        <v>0</v>
      </c>
      <c r="F26" s="20"/>
      <c r="G26" s="309" t="s">
        <v>27</v>
      </c>
      <c r="H26" s="17"/>
      <c r="I26" s="3" t="s">
        <v>34</v>
      </c>
      <c r="J26" s="280"/>
      <c r="K26" s="18">
        <f>IF('Voederbieten nieuw'!$B$5=1,'Voederbieten nieuw'!$C$36,IF('Voederbieten nieuw'!$B$5=2,'Voederbieten nieuw'!$D$36,'Voederbieten nieuw'!$E$36))</f>
        <v>1858</v>
      </c>
      <c r="L26" s="2">
        <f>J26*K26</f>
        <v>0</v>
      </c>
      <c r="M26" s="8"/>
      <c r="N26" s="309" t="s">
        <v>27</v>
      </c>
    </row>
    <row r="27" spans="2:23" customFormat="1" ht="3" customHeight="1" x14ac:dyDescent="0.3">
      <c r="B27" s="11"/>
      <c r="C27" s="11"/>
      <c r="D27" s="18"/>
      <c r="E27" s="18"/>
      <c r="F27" s="20"/>
      <c r="G27" s="29"/>
      <c r="H27" s="17"/>
      <c r="I27" s="11"/>
      <c r="J27" s="11"/>
      <c r="K27" s="18"/>
      <c r="L27" s="18"/>
      <c r="M27" s="13"/>
      <c r="N27" s="27"/>
      <c r="O27" s="57"/>
      <c r="P27" s="1"/>
      <c r="Q27" s="1"/>
      <c r="R27" s="1"/>
      <c r="S27" s="1"/>
      <c r="T27" s="1"/>
      <c r="U27" s="1"/>
      <c r="V27" s="1"/>
      <c r="W27" s="1"/>
    </row>
    <row r="28" spans="2:23" x14ac:dyDescent="0.3">
      <c r="B28" s="3" t="s">
        <v>35</v>
      </c>
      <c r="C28" s="280"/>
      <c r="D28" s="18">
        <f>IF('Sorghum huidig'!B5=1,'Sorghum huidig'!C35,'Sorghum huidig'!D35)</f>
        <v>1036</v>
      </c>
      <c r="E28" s="18">
        <f t="shared" si="0"/>
        <v>0</v>
      </c>
      <c r="F28" s="20"/>
      <c r="G28" s="309" t="s">
        <v>27</v>
      </c>
      <c r="H28" s="17"/>
      <c r="I28" s="3" t="s">
        <v>35</v>
      </c>
      <c r="J28" s="280"/>
      <c r="K28" s="18">
        <f>IF('Sorghum nieuw'!$B$5=1,'Sorghum nieuw'!$C$36,IF('Sorghum nieuw'!$B$5=2,'Sorghum nieuw'!$D$36,'Sorghum nieuw'!$E$36))</f>
        <v>1036</v>
      </c>
      <c r="L28" s="2">
        <f>J28*K28</f>
        <v>0</v>
      </c>
      <c r="M28" s="8"/>
      <c r="N28" s="309" t="s">
        <v>27</v>
      </c>
    </row>
    <row r="29" spans="2:23" customFormat="1" ht="4.5" customHeight="1" x14ac:dyDescent="0.3">
      <c r="B29" s="11"/>
      <c r="C29" s="11"/>
      <c r="D29" s="18"/>
      <c r="E29" s="18"/>
      <c r="F29" s="20"/>
      <c r="G29" s="29"/>
      <c r="H29" s="17"/>
      <c r="I29" s="11"/>
      <c r="J29" s="11"/>
      <c r="K29" s="18"/>
      <c r="L29" s="18"/>
      <c r="M29" s="13"/>
      <c r="N29" s="27"/>
      <c r="O29" s="57"/>
      <c r="P29" s="1"/>
      <c r="Q29" s="1"/>
      <c r="R29" s="1"/>
      <c r="S29" s="1"/>
      <c r="T29" s="1"/>
      <c r="U29" s="1"/>
      <c r="V29" s="1"/>
      <c r="W29" s="1"/>
    </row>
    <row r="30" spans="2:23" customFormat="1" x14ac:dyDescent="0.3">
      <c r="B30" s="11" t="str">
        <f>CONCATENATE("Anders: ",'Anders ruwvoer huidig'!C5)</f>
        <v xml:space="preserve">Anders: </v>
      </c>
      <c r="C30" s="280"/>
      <c r="D30" s="270">
        <f>'Anders ruwvoer huidig'!C34</f>
        <v>0</v>
      </c>
      <c r="E30" s="18">
        <f>C30*D30</f>
        <v>0</v>
      </c>
      <c r="F30" s="20"/>
      <c r="G30" s="309" t="s">
        <v>27</v>
      </c>
      <c r="H30" s="17"/>
      <c r="I30" s="54" t="str">
        <f>CONCATENATE("Anders: ",'Anders ruwvoer nieuw'!C5)</f>
        <v xml:space="preserve">Anders: </v>
      </c>
      <c r="J30" s="280"/>
      <c r="K30" s="270">
        <f>'Anders ruwvoer nieuw'!C34</f>
        <v>0</v>
      </c>
      <c r="L30" s="18">
        <f>J30*K30</f>
        <v>0</v>
      </c>
      <c r="M30" s="13"/>
      <c r="N30" s="309" t="s">
        <v>27</v>
      </c>
      <c r="O30" s="57"/>
      <c r="P30" s="1"/>
      <c r="Q30" s="1"/>
      <c r="R30" s="1"/>
      <c r="S30" s="1"/>
      <c r="T30" s="1"/>
      <c r="U30" s="1"/>
      <c r="V30" s="1"/>
      <c r="W30" s="1"/>
    </row>
    <row r="31" spans="2:23" customFormat="1" ht="4.5" customHeight="1" x14ac:dyDescent="0.3">
      <c r="B31" s="11"/>
      <c r="C31" s="11"/>
      <c r="D31" s="18"/>
      <c r="E31" s="18"/>
      <c r="F31" s="20"/>
      <c r="G31" s="29"/>
      <c r="H31" s="17"/>
      <c r="I31" s="54"/>
      <c r="J31" s="11"/>
      <c r="K31" s="18"/>
      <c r="L31" s="18"/>
      <c r="M31" s="13"/>
      <c r="N31" s="27"/>
      <c r="O31" s="57"/>
      <c r="P31" s="1"/>
      <c r="Q31" s="1"/>
      <c r="R31" s="1"/>
      <c r="S31" s="1"/>
      <c r="T31" s="1"/>
      <c r="U31" s="1"/>
      <c r="V31" s="1"/>
      <c r="W31" s="1"/>
    </row>
    <row r="32" spans="2:23" x14ac:dyDescent="0.3">
      <c r="B32" s="198" t="s">
        <v>36</v>
      </c>
      <c r="C32" s="193" t="s">
        <v>6</v>
      </c>
      <c r="D32" s="195" t="s">
        <v>24</v>
      </c>
      <c r="E32" s="193" t="s">
        <v>8</v>
      </c>
      <c r="F32" s="20"/>
      <c r="G32" s="29"/>
      <c r="H32" s="17"/>
      <c r="I32" s="194" t="s">
        <v>36</v>
      </c>
      <c r="J32" s="193" t="s">
        <v>6</v>
      </c>
      <c r="K32" s="195" t="s">
        <v>24</v>
      </c>
      <c r="L32" s="193" t="s">
        <v>8</v>
      </c>
      <c r="M32" s="8"/>
      <c r="N32" s="27"/>
    </row>
    <row r="33" spans="2:23" customFormat="1" ht="3" customHeight="1" x14ac:dyDescent="0.3">
      <c r="B33" s="11"/>
      <c r="C33" s="11"/>
      <c r="D33" s="18"/>
      <c r="E33" s="18"/>
      <c r="F33" s="20"/>
      <c r="G33" s="29"/>
      <c r="H33" s="17"/>
      <c r="I33" s="11"/>
      <c r="J33" s="11"/>
      <c r="K33" s="18"/>
      <c r="L33" s="18"/>
      <c r="M33" s="13"/>
      <c r="N33" s="27"/>
      <c r="O33" s="57"/>
      <c r="P33" s="1"/>
      <c r="Q33" s="1"/>
      <c r="R33" s="1"/>
      <c r="S33" s="1"/>
      <c r="T33" s="1"/>
      <c r="U33" s="1"/>
      <c r="V33" s="1"/>
      <c r="W33" s="1"/>
    </row>
    <row r="34" spans="2:23" x14ac:dyDescent="0.3">
      <c r="B34" s="3" t="s">
        <v>37</v>
      </c>
      <c r="C34" s="280"/>
      <c r="D34" s="18">
        <f>IF('Veldbonen huidig'!B5=1,'Veldbonen huidig'!C35,'Veldbonen huidig'!D35)</f>
        <v>892</v>
      </c>
      <c r="E34" s="18">
        <f t="shared" si="0"/>
        <v>0</v>
      </c>
      <c r="F34" s="20"/>
      <c r="G34" s="309" t="s">
        <v>27</v>
      </c>
      <c r="H34" s="17"/>
      <c r="I34" s="3" t="s">
        <v>37</v>
      </c>
      <c r="J34" s="280"/>
      <c r="K34" s="18">
        <f>IF('Veldbonen nieuw'!$B$5=1,'Veldbonen nieuw'!$C$36,IF('Veldbonen nieuw'!$B$5=2,'Veldbonen nieuw'!$D$36,'Veldbonen nieuw'!$E$36))</f>
        <v>892</v>
      </c>
      <c r="L34" s="2">
        <f>J34*K34</f>
        <v>0</v>
      </c>
      <c r="M34" s="8"/>
      <c r="N34" s="309" t="s">
        <v>27</v>
      </c>
    </row>
    <row r="35" spans="2:23" customFormat="1" ht="3" customHeight="1" x14ac:dyDescent="0.3">
      <c r="B35" s="11"/>
      <c r="C35" s="11"/>
      <c r="D35" s="18"/>
      <c r="E35" s="18"/>
      <c r="F35" s="20"/>
      <c r="G35" s="29"/>
      <c r="H35" s="17"/>
      <c r="I35" s="11"/>
      <c r="J35" s="11"/>
      <c r="K35" s="18"/>
      <c r="L35" s="18"/>
      <c r="M35" s="13"/>
      <c r="N35" s="27"/>
      <c r="O35" s="57"/>
      <c r="P35" s="1"/>
      <c r="Q35" s="1"/>
      <c r="R35" s="1"/>
      <c r="S35" s="1"/>
      <c r="T35" s="1"/>
      <c r="U35" s="1"/>
      <c r="V35" s="1"/>
      <c r="W35" s="1"/>
    </row>
    <row r="36" spans="2:23" x14ac:dyDescent="0.3">
      <c r="B36" s="3" t="s">
        <v>38</v>
      </c>
      <c r="C36" s="280"/>
      <c r="D36" s="18">
        <f>IF('Soja huidig'!B5=1,'Soja huidig'!C35,'Soja huidig'!D35)</f>
        <v>1107</v>
      </c>
      <c r="E36" s="18">
        <f t="shared" ref="E36" si="2">C36*D36</f>
        <v>0</v>
      </c>
      <c r="F36" s="20"/>
      <c r="G36" s="309" t="s">
        <v>27</v>
      </c>
      <c r="H36" s="17"/>
      <c r="I36" s="3" t="s">
        <v>38</v>
      </c>
      <c r="J36" s="280"/>
      <c r="K36" s="18">
        <f>IF('Soja nieuw'!$B$5=1,'Soja nieuw'!$C$36,IF('Soja nieuw'!$B$5=2,'Soja nieuw'!$D$36,'Soja nieuw'!$E$36))</f>
        <v>1107</v>
      </c>
      <c r="L36" s="2">
        <f>J36*K36</f>
        <v>0</v>
      </c>
      <c r="M36" s="8"/>
      <c r="N36" s="309" t="s">
        <v>27</v>
      </c>
    </row>
    <row r="37" spans="2:23" customFormat="1" ht="3" customHeight="1" x14ac:dyDescent="0.3">
      <c r="B37" s="11"/>
      <c r="C37" s="11"/>
      <c r="D37" s="18"/>
      <c r="E37" s="18"/>
      <c r="F37" s="20"/>
      <c r="G37" s="29"/>
      <c r="H37" s="17"/>
      <c r="I37" s="11"/>
      <c r="J37" s="11"/>
      <c r="K37" s="18"/>
      <c r="L37" s="18"/>
      <c r="M37" s="13"/>
      <c r="N37" s="27"/>
      <c r="O37" s="57"/>
      <c r="P37" s="1"/>
      <c r="Q37" s="1"/>
      <c r="R37" s="1"/>
      <c r="S37" s="1"/>
      <c r="T37" s="1"/>
      <c r="U37" s="1"/>
      <c r="V37" s="1"/>
      <c r="W37" s="1"/>
    </row>
    <row r="38" spans="2:23" x14ac:dyDescent="0.3">
      <c r="B38" s="3" t="s">
        <v>39</v>
      </c>
      <c r="C38" s="280"/>
      <c r="D38" s="18">
        <f>IF('MKS huidig'!B5=1,'MKS huidig'!C35,'MKS huidig'!D35)</f>
        <v>1239</v>
      </c>
      <c r="E38" s="18">
        <f t="shared" ref="E38" si="3">C38*D38</f>
        <v>0</v>
      </c>
      <c r="F38" s="20"/>
      <c r="G38" s="309" t="s">
        <v>27</v>
      </c>
      <c r="H38" s="17"/>
      <c r="I38" s="3" t="s">
        <v>39</v>
      </c>
      <c r="J38" s="280"/>
      <c r="K38" s="18">
        <f>IF('MKS nieuw'!$B$5=1,'MKS nieuw'!$C$36,IF('MKS nieuw'!$B$5=2,'MKS nieuw'!$D$36,'MKS nieuw'!$E$36))</f>
        <v>1239</v>
      </c>
      <c r="L38" s="2">
        <f>J38*K38</f>
        <v>0</v>
      </c>
      <c r="M38" s="8"/>
      <c r="N38" s="309" t="s">
        <v>27</v>
      </c>
    </row>
    <row r="39" spans="2:23" customFormat="1" ht="3" customHeight="1" x14ac:dyDescent="0.3">
      <c r="B39" s="11"/>
      <c r="C39" s="11"/>
      <c r="D39" s="18"/>
      <c r="E39" s="18"/>
      <c r="F39" s="20"/>
      <c r="G39" s="29"/>
      <c r="H39" s="17"/>
      <c r="I39" s="11"/>
      <c r="J39" s="11"/>
      <c r="K39" s="18"/>
      <c r="L39" s="18"/>
      <c r="M39" s="13"/>
      <c r="N39" s="27"/>
      <c r="O39" s="57"/>
      <c r="P39" s="1"/>
      <c r="Q39" s="1"/>
      <c r="R39" s="1"/>
      <c r="S39" s="1"/>
      <c r="T39" s="1"/>
      <c r="U39" s="1"/>
      <c r="V39" s="1"/>
      <c r="W39" s="1"/>
    </row>
    <row r="40" spans="2:23" x14ac:dyDescent="0.3">
      <c r="B40" s="3" t="s">
        <v>40</v>
      </c>
      <c r="C40" s="280"/>
      <c r="D40" s="18">
        <f>IF('CCM huidig'!B5=1,'CCM huidig'!C35,'CCM huidig'!D35)</f>
        <v>1321</v>
      </c>
      <c r="E40" s="18">
        <f t="shared" si="0"/>
        <v>0</v>
      </c>
      <c r="F40" s="20"/>
      <c r="G40" s="309" t="s">
        <v>27</v>
      </c>
      <c r="H40" s="17"/>
      <c r="I40" s="3" t="s">
        <v>40</v>
      </c>
      <c r="J40" s="280"/>
      <c r="K40" s="18">
        <f>IF('CCM nieuw'!$B$5=1,'CCM nieuw'!$C$36,IF('CCM nieuw'!$B$5=2,'CCM nieuw'!$D$36,'CCM nieuw'!$E$36))</f>
        <v>1321</v>
      </c>
      <c r="L40" s="2">
        <f>J40*K40</f>
        <v>0</v>
      </c>
      <c r="M40" s="8"/>
      <c r="N40" s="309" t="s">
        <v>27</v>
      </c>
    </row>
    <row r="41" spans="2:23" customFormat="1" ht="3" customHeight="1" x14ac:dyDescent="0.3">
      <c r="B41" s="11"/>
      <c r="C41" s="11"/>
      <c r="D41" s="18"/>
      <c r="E41" s="18"/>
      <c r="F41" s="20"/>
      <c r="G41" s="29"/>
      <c r="H41" s="17"/>
      <c r="I41" s="11"/>
      <c r="J41" s="11"/>
      <c r="K41" s="18"/>
      <c r="L41" s="18"/>
      <c r="M41" s="13"/>
      <c r="N41" s="27"/>
      <c r="O41" s="57"/>
      <c r="P41" s="1"/>
      <c r="Q41" s="1"/>
      <c r="R41" s="1"/>
      <c r="S41" s="1"/>
      <c r="T41" s="1"/>
      <c r="U41" s="1"/>
      <c r="V41" s="1"/>
      <c r="W41" s="1"/>
    </row>
    <row r="42" spans="2:23" customFormat="1" x14ac:dyDescent="0.3">
      <c r="B42" s="11" t="str">
        <f>CONCATENATE("Anders: ",'Anders krachtvoer huidig'!C5)</f>
        <v xml:space="preserve">Anders: </v>
      </c>
      <c r="C42" s="280"/>
      <c r="D42" s="18">
        <f>'Anders krachtvoer huidig'!C34</f>
        <v>0</v>
      </c>
      <c r="E42" s="18">
        <f>C42*D42</f>
        <v>0</v>
      </c>
      <c r="F42" s="20"/>
      <c r="G42" s="309" t="s">
        <v>27</v>
      </c>
      <c r="H42" s="17"/>
      <c r="I42" s="11" t="str">
        <f>CONCATENATE("Anders: ",'Anders krachtvoer nieuw'!C5)</f>
        <v xml:space="preserve">Anders: </v>
      </c>
      <c r="J42" s="280"/>
      <c r="K42" s="18">
        <f>'Anders krachtvoer nieuw'!C34</f>
        <v>0</v>
      </c>
      <c r="L42" s="18">
        <f>J42*K42</f>
        <v>0</v>
      </c>
      <c r="M42" s="13"/>
      <c r="N42" s="309" t="s">
        <v>27</v>
      </c>
      <c r="O42" s="57"/>
      <c r="P42" s="1"/>
      <c r="Q42" s="1"/>
      <c r="R42" s="1"/>
      <c r="S42" s="1"/>
      <c r="T42" s="1"/>
      <c r="U42" s="1"/>
      <c r="V42" s="1"/>
      <c r="W42" s="1"/>
    </row>
    <row r="43" spans="2:23" customFormat="1" ht="3" customHeight="1" thickBot="1" x14ac:dyDescent="0.35">
      <c r="B43" s="11"/>
      <c r="C43" s="11"/>
      <c r="D43" s="18"/>
      <c r="E43" s="18"/>
      <c r="F43" s="20"/>
      <c r="G43" s="29"/>
      <c r="H43" s="17"/>
      <c r="I43" s="11"/>
      <c r="J43" s="11"/>
      <c r="K43" s="18"/>
      <c r="L43" s="18"/>
      <c r="M43" s="13"/>
      <c r="N43" s="27"/>
      <c r="O43" s="57"/>
      <c r="P43" s="1"/>
      <c r="Q43" s="1"/>
      <c r="R43" s="1"/>
      <c r="S43" s="1"/>
      <c r="T43" s="1"/>
      <c r="U43" s="1"/>
      <c r="V43" s="1"/>
      <c r="W43" s="1"/>
    </row>
    <row r="44" spans="2:23" ht="15" thickBot="1" x14ac:dyDescent="0.35">
      <c r="B44" s="193" t="s">
        <v>8</v>
      </c>
      <c r="C44" s="193">
        <f>SUM(C12:C40)</f>
        <v>0</v>
      </c>
      <c r="D44" s="197">
        <f>IF(C44=0,0,E44/C44)</f>
        <v>0</v>
      </c>
      <c r="E44" s="195">
        <f>MROUND(SUM(E12:E40),100)</f>
        <v>0</v>
      </c>
      <c r="F44" s="20"/>
      <c r="G44" s="30"/>
      <c r="H44" s="14"/>
      <c r="I44" s="195" t="s">
        <v>8</v>
      </c>
      <c r="J44" s="193">
        <f>SUM(J12:J40)</f>
        <v>0</v>
      </c>
      <c r="K44" s="196">
        <f>IF(J44=0,0,L44/J44)</f>
        <v>0</v>
      </c>
      <c r="L44" s="195">
        <f>MROUND(SUM(L12:L40),100)</f>
        <v>0</v>
      </c>
      <c r="M44" s="8"/>
      <c r="P44" s="237" t="s">
        <v>41</v>
      </c>
      <c r="Q44" s="262">
        <f>L44-E44</f>
        <v>0</v>
      </c>
    </row>
    <row r="45" spans="2:23" ht="5.55" customHeight="1" x14ac:dyDescent="0.3">
      <c r="D45" s="34"/>
      <c r="E45" s="13"/>
      <c r="F45" s="20"/>
      <c r="G45" s="30"/>
      <c r="H45" s="14"/>
      <c r="I45" s="8"/>
      <c r="J45" s="61"/>
      <c r="K45" s="50"/>
      <c r="L45" s="8"/>
      <c r="M45" s="8"/>
      <c r="P45" s="263"/>
      <c r="Q45" s="264"/>
    </row>
    <row r="46" spans="2:23" ht="14.55" customHeight="1" x14ac:dyDescent="0.3">
      <c r="B46" s="3" t="s">
        <v>42</v>
      </c>
      <c r="C46" s="3">
        <f>'Extra land'!C18</f>
        <v>0</v>
      </c>
      <c r="D46" s="6"/>
      <c r="E46" s="6"/>
      <c r="F46" s="6"/>
      <c r="G46" s="30"/>
      <c r="H46" s="15"/>
      <c r="J46" s="342" t="str">
        <f>IF(C47-J44=0,"",IF((J44-C47)&lt;0,_xlfn.CONCAT("Nog ",(C47-J44)," Ha invullen"),CONCATENATE(ABS(C47-J44)," Ha te veel ingevuld")))</f>
        <v/>
      </c>
      <c r="K46" s="342"/>
      <c r="L46" s="342"/>
    </row>
    <row r="47" spans="2:23" ht="14.55" customHeight="1" x14ac:dyDescent="0.3">
      <c r="B47" s="3" t="s">
        <v>43</v>
      </c>
      <c r="C47" s="3">
        <f>C46+C44</f>
        <v>0</v>
      </c>
      <c r="D47" s="7"/>
      <c r="E47" s="7"/>
      <c r="F47" s="7"/>
      <c r="G47" s="31"/>
      <c r="H47" s="16"/>
      <c r="I47" s="8"/>
      <c r="J47" s="342"/>
      <c r="K47" s="342"/>
      <c r="L47" s="342"/>
    </row>
    <row r="48" spans="2:23" x14ac:dyDescent="0.3">
      <c r="D48" s="7"/>
      <c r="E48" s="7"/>
      <c r="F48" s="7"/>
      <c r="G48" s="31"/>
      <c r="H48" s="16"/>
      <c r="I48" s="8"/>
    </row>
    <row r="49" spans="11:15" s="41" customFormat="1" x14ac:dyDescent="0.3">
      <c r="K49" s="55"/>
      <c r="N49" s="32"/>
      <c r="O49" s="158"/>
    </row>
    <row r="50" spans="11:15" s="41" customFormat="1" x14ac:dyDescent="0.3">
      <c r="K50" s="55"/>
      <c r="N50" s="32"/>
      <c r="O50" s="158"/>
    </row>
  </sheetData>
  <sheetProtection sheet="1" objects="1" scenarios="1" selectLockedCells="1"/>
  <mergeCells count="6">
    <mergeCell ref="B4:K5"/>
    <mergeCell ref="J46:L47"/>
    <mergeCell ref="I7:L8"/>
    <mergeCell ref="B7:E8"/>
    <mergeCell ref="B9:E9"/>
    <mergeCell ref="I9:L9"/>
  </mergeCells>
  <conditionalFormatting sqref="K44:K45">
    <cfRule type="expression" dxfId="146" priority="4">
      <formula>#REF!=#REF!</formula>
    </cfRule>
    <cfRule type="cellIs" dxfId="145" priority="5" operator="notEqual">
      <formula>#REF!</formula>
    </cfRule>
  </conditionalFormatting>
  <conditionalFormatting sqref="J46">
    <cfRule type="containsText" dxfId="144" priority="1" operator="containsText" text="ha">
      <formula>NOT(ISERROR(SEARCH("ha",J46)))</formula>
    </cfRule>
  </conditionalFormatting>
  <dataValidations count="1">
    <dataValidation type="decimal" operator="greaterThanOrEqual" allowBlank="1" showInputMessage="1" showErrorMessage="1" errorTitle="Fout" error="Typ een getal groter of gelijk aan 0." sqref="C12 C14 C16 C18 C20 C22 C24 C26 C28 C30 C34 C36 C38 C40 C42 J12 J14 J16 J18 J20 J22 J24 J26 J28 J30 J34 J36 J38 J40 J42" xr:uid="{03436DF8-0D59-4220-96C5-171DCCF0C8E0}">
      <formula1>0</formula1>
    </dataValidation>
  </dataValidations>
  <hyperlinks>
    <hyperlink ref="G12" location="'Grasland (blijvend) huidig'!A1" display="Saldo bepalen" xr:uid="{C87CAD3C-A5A8-4BAC-8206-45120760F165}"/>
    <hyperlink ref="N12" location="'Grasland (blijvend) nieuw'!A1" display="Kostprijs bepalen" xr:uid="{0EA9E6E0-B9C8-44DF-B2A0-93336B6F5D8C}"/>
    <hyperlink ref="G14" location="'Grasland (tijdelijk) huidig'!A1" display="Kostprijs bepalen" xr:uid="{6B0906D4-0AC6-4091-9B06-0C5EFF1304BA}"/>
    <hyperlink ref="G16" location="'Grasklaver huidig'!A1" display="Kostprijs bepalen" xr:uid="{88340A4B-32B5-4D3B-B3F1-19A954E26FA1}"/>
    <hyperlink ref="G18" location="'Kruidenrijk grasland huidig'!A1" display="Kostprijs bepalen" xr:uid="{3D08F062-AB94-42AA-8CED-4360454688A8}"/>
    <hyperlink ref="G22" location="'Natuurgras huidig'!A1" display="Kostprijs bepalen" xr:uid="{829FB1FD-B802-4CB5-97A3-45AED0D22A60}"/>
    <hyperlink ref="G24" location="'Maisland huidig'!A1" display="Kostprijs bepalen" xr:uid="{0F7F16E3-B37A-46FD-BB25-E1415271AB41}"/>
    <hyperlink ref="G26" location="'Voederbieten huidig'!A1" display="Kostprijs bepalen" xr:uid="{CF349937-BC7F-438D-B95B-5CE69231EA72}"/>
    <hyperlink ref="G28" location="'Sorghum huidig'!A1" display="Kostprijs bepalen" xr:uid="{71AB82D0-8813-48F5-95E8-B07DA953FBF2}"/>
    <hyperlink ref="G34" location="'Veldbonen huidig'!A1" display="Kostprijs bepalen" xr:uid="{DCF84A8E-3F6A-4865-925F-B2444E207386}"/>
    <hyperlink ref="G36" location="'Soja huidig'!A1" display="Kostprijs bepalen" xr:uid="{905EE816-1E0A-4475-A02D-0E69E8251C89}"/>
    <hyperlink ref="G38" location="'MKS huidig'!A1" display="Kostprijs bepalen" xr:uid="{89DC10AF-90C1-458A-93A1-A06F4CC14A95}"/>
    <hyperlink ref="G40" location="'CCM huidig'!A1" display="Kostprijs bepalen" xr:uid="{BE924903-AA84-418A-A97C-A2157AC35D80}"/>
    <hyperlink ref="N14" location="'Grasland (tijdelijk) nieuw'!A1" display="Kostprijs bepalen" xr:uid="{1FFE2286-6E0C-4360-9467-2F0AA375AB8A}"/>
    <hyperlink ref="N16" location="'Grasklaver nieuw'!A1" display="Kostprijs bepalen" xr:uid="{8D4CD05B-0BBE-429A-9B9F-94A5DA34052A}"/>
    <hyperlink ref="N18" location="'Kruidenrijk grasland nieuw'!A1" display="Kostprijs bepalen" xr:uid="{00000CF2-4716-4F0D-AEDB-2B8B5F33FB5A}"/>
    <hyperlink ref="N22" location="'Natuurgras nieuw'!A1" display="Kostprijs bepalen" xr:uid="{D02B6646-8BF9-4B99-8135-0273D4563F60}"/>
    <hyperlink ref="N24" location="'Maisland nieuw'!A1" display="Kostprijs bepalen" xr:uid="{962D2154-3E97-4F6C-987B-1E42FD109629}"/>
    <hyperlink ref="N26" location="'Voederbieten nieuw'!A1" display="Kostprijs bepalen" xr:uid="{899A4281-1C02-41AC-B047-7160EFBF80A5}"/>
    <hyperlink ref="N28" location="'Sorghum nieuw'!A1" display="Kostprijs bepalen" xr:uid="{A3049DD7-42C3-47A7-AE99-07121996C223}"/>
    <hyperlink ref="N34" location="'Veldbonen nieuw'!A1" display="Kostprijs bepalen" xr:uid="{CA6DE4D5-B0E9-4E4A-999B-521BFBA436B3}"/>
    <hyperlink ref="N36" location="'Soja nieuw'!A1" display="Kostprijs bepalen" xr:uid="{9DE892DA-7775-4575-870A-F5BC7206A7E1}"/>
    <hyperlink ref="N38" location="'MKS nieuw'!A1" display="Kostprijs bepalen" xr:uid="{6A8A7A07-C016-4D4B-A8F8-B9E77C89D5E8}"/>
    <hyperlink ref="N40" location="'CCM nieuw'!A1" display="Kostprijs bepalen" xr:uid="{80E104B6-F21C-4259-AD28-FE81EDA67ED8}"/>
    <hyperlink ref="G20" location="'Luzerne huidig'!A1" display="Kostprijs bepalen" xr:uid="{CB53A279-5659-49A2-A4D4-2F53C466E4CA}"/>
    <hyperlink ref="N20" location="'Luzerne nieuw'!A1" display="Kostprijs bepalen" xr:uid="{B5C76AFE-D8E8-4D44-B752-B448B712EFEF}"/>
    <hyperlink ref="N30" location="'Anders ruwvoer nieuw'!A1" display="Kostprijs bepalen" xr:uid="{A965F7F7-88C3-4573-B8E4-FD06AA9293F0}"/>
    <hyperlink ref="G30" location="'Anders ruwvoer huidig'!A1" display="Kostprijs bepalen" xr:uid="{47C06FCE-E15E-4757-A48F-E0C952483623}"/>
    <hyperlink ref="G42" location="'Anders krachtvoer huidig'!A1" display="Kostprijs bepalen" xr:uid="{1B8D76FE-DB54-4C6E-8C5B-542FE5D79D80}"/>
    <hyperlink ref="N42" location="'Anders krachtvoer nieuw'!A1" display="Kostprijs bepalen" xr:uid="{A1BB9E99-D723-4A24-A237-A297263644EA}"/>
  </hyperlink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3C53AD-2D51-42A5-9FAB-E99B56606912}">
  <sheetPr codeName="Blad22">
    <tabColor theme="8" tint="0.59999389629810485"/>
  </sheetPr>
  <dimension ref="B2:G41"/>
  <sheetViews>
    <sheetView showGridLines="0" zoomScale="80" zoomScaleNormal="80" workbookViewId="0">
      <selection activeCell="E36" activeCellId="8" sqref="E10:E12 E15:E19 E23 E24 E25 E29 E30 E34:E35 E36"/>
    </sheetView>
  </sheetViews>
  <sheetFormatPr defaultRowHeight="14.4" x14ac:dyDescent="0.3"/>
  <cols>
    <col min="1" max="1" width="2.77734375" customWidth="1"/>
    <col min="2" max="2" width="30.5546875" customWidth="1"/>
    <col min="3" max="5" width="16.77734375" customWidth="1"/>
    <col min="6" max="6" width="2.6640625" customWidth="1"/>
    <col min="7" max="7" width="27.21875" customWidth="1"/>
  </cols>
  <sheetData>
    <row r="2" spans="2:6" x14ac:dyDescent="0.3">
      <c r="B2" s="456" t="s">
        <v>223</v>
      </c>
      <c r="C2" s="456"/>
      <c r="D2" s="456"/>
      <c r="E2" s="456"/>
    </row>
    <row r="3" spans="2:6" x14ac:dyDescent="0.3">
      <c r="B3" s="456"/>
      <c r="C3" s="456"/>
      <c r="D3" s="456"/>
      <c r="E3" s="456"/>
    </row>
    <row r="5" spans="2:6" x14ac:dyDescent="0.3">
      <c r="B5" s="277">
        <v>1</v>
      </c>
    </row>
    <row r="6" spans="2:6" x14ac:dyDescent="0.3">
      <c r="B6" s="240"/>
    </row>
    <row r="7" spans="2:6" x14ac:dyDescent="0.3">
      <c r="B7" s="240"/>
    </row>
    <row r="9" spans="2:6" x14ac:dyDescent="0.3">
      <c r="B9" s="193"/>
      <c r="C9" s="193" t="str">
        <f>'Grasland (tijdelijk) huidig'!C8</f>
        <v>Gem. opbrengst</v>
      </c>
      <c r="D9" s="228" t="s">
        <v>133</v>
      </c>
      <c r="E9" s="303" t="s">
        <v>102</v>
      </c>
    </row>
    <row r="10" spans="2:6" x14ac:dyDescent="0.3">
      <c r="B10" s="11" t="str">
        <f>'Grasland (tijdelijk) huidig'!B9</f>
        <v>Opbrengst in KG DS</v>
      </c>
      <c r="C10" s="44">
        <f>'Grasland (tijdelijk) huidig'!C9</f>
        <v>10000</v>
      </c>
      <c r="D10" s="68">
        <f>IF('Grasland (tijdelijk) huidig'!D9=0,'Grasland (tijdelijk) huidig'!C9,'Grasland (tijdelijk) huidig'!D9)</f>
        <v>10000</v>
      </c>
      <c r="E10" s="287"/>
    </row>
    <row r="11" spans="2:6" x14ac:dyDescent="0.3">
      <c r="B11" s="11" t="str">
        <f>'Grasland (tijdelijk) huidig'!B10</f>
        <v>VEM per KG DS</v>
      </c>
      <c r="C11" s="11">
        <f>'Grasland (tijdelijk) huidig'!C10</f>
        <v>905</v>
      </c>
      <c r="D11" s="23">
        <f>IF('Grasland (tijdelijk) huidig'!D10=0,'Grasland (tijdelijk) huidig'!C10,'Grasland (tijdelijk) huidig'!D10)</f>
        <v>905</v>
      </c>
      <c r="E11" s="287"/>
    </row>
    <row r="12" spans="2:6" x14ac:dyDescent="0.3">
      <c r="B12" s="11" t="str">
        <f>'Grasland (tijdelijk) huidig'!B11</f>
        <v>DVE per KG DS</v>
      </c>
      <c r="C12" s="11">
        <f>'Grasland (tijdelijk) huidig'!C11</f>
        <v>72</v>
      </c>
      <c r="D12" s="23">
        <f>IF('Grasland (tijdelijk) huidig'!D11=0,'Grasland (tijdelijk) huidig'!C11,'Grasland (tijdelijk) huidig'!D11)</f>
        <v>72</v>
      </c>
      <c r="E12" s="287"/>
    </row>
    <row r="13" spans="2:6" x14ac:dyDescent="0.3">
      <c r="B13" s="200"/>
      <c r="C13" s="200"/>
      <c r="D13" s="200"/>
      <c r="E13" s="300"/>
    </row>
    <row r="14" spans="2:6" x14ac:dyDescent="0.3">
      <c r="B14" s="193" t="str">
        <f>'Grasland (tijdelijk) huidig'!B13</f>
        <v>Inzaaien</v>
      </c>
      <c r="C14" s="193" t="str">
        <f>'Grasland (tijdelijk) huidig'!C13</f>
        <v>Gem. kosten</v>
      </c>
      <c r="D14" s="228" t="s">
        <v>133</v>
      </c>
      <c r="E14" s="303" t="s">
        <v>102</v>
      </c>
    </row>
    <row r="15" spans="2:6" x14ac:dyDescent="0.3">
      <c r="B15" s="11" t="str">
        <f>'Grasland (tijdelijk) huidig'!B14</f>
        <v>Spuiten glyfosaat</v>
      </c>
      <c r="C15" s="48">
        <f>'Grasland (tijdelijk) huidig'!C14</f>
        <v>80</v>
      </c>
      <c r="D15" s="103">
        <f>IF('Grasland (tijdelijk) huidig'!D14=0,'Grasland (tijdelijk) huidig'!C14,'Grasland (tijdelijk) huidig'!D14)</f>
        <v>80</v>
      </c>
      <c r="E15" s="285"/>
    </row>
    <row r="16" spans="2:6" x14ac:dyDescent="0.3">
      <c r="B16" s="11" t="str">
        <f>'Grasland (tijdelijk) huidig'!B15</f>
        <v>Frezen + ploegen</v>
      </c>
      <c r="C16" s="48">
        <f>'Grasland (tijdelijk) huidig'!C15</f>
        <v>236</v>
      </c>
      <c r="D16" s="103">
        <f>IF('Grasland (tijdelijk) huidig'!D15=0,'Grasland (tijdelijk) huidig'!C15,'Grasland (tijdelijk) huidig'!D15)</f>
        <v>236</v>
      </c>
      <c r="E16" s="285"/>
    </row>
    <row r="17" spans="2:5" x14ac:dyDescent="0.3">
      <c r="B17" s="11" t="str">
        <f>'Grasland (tijdelijk) huidig'!B16</f>
        <v>Zaaien</v>
      </c>
      <c r="C17" s="48">
        <f>'Grasland (tijdelijk) huidig'!C16</f>
        <v>102</v>
      </c>
      <c r="D17" s="103">
        <f>IF('Grasland (tijdelijk) huidig'!D16=0,'Grasland (tijdelijk) huidig'!C16,'Grasland (tijdelijk) huidig'!D16)</f>
        <v>102</v>
      </c>
      <c r="E17" s="285"/>
    </row>
    <row r="18" spans="2:5" x14ac:dyDescent="0.3">
      <c r="B18" s="11" t="str">
        <f>'Grasland (tijdelijk) huidig'!B17</f>
        <v>Zaaizaad</v>
      </c>
      <c r="C18" s="48">
        <f>'Grasland (tijdelijk) huidig'!C17</f>
        <v>198</v>
      </c>
      <c r="D18" s="103">
        <f>IF('Grasland (tijdelijk) huidig'!D17=0,'Grasland (tijdelijk) huidig'!C17,'Grasland (tijdelijk) huidig'!D17)</f>
        <v>198</v>
      </c>
      <c r="E18" s="285"/>
    </row>
    <row r="19" spans="2:5" x14ac:dyDescent="0.3">
      <c r="B19" s="11" t="str">
        <f>'Grasland (tijdelijk) huidig'!B18</f>
        <v>Hoeveel jaar</v>
      </c>
      <c r="C19" s="115">
        <f>'Grasland (tijdelijk) huidig'!C18</f>
        <v>4</v>
      </c>
      <c r="D19" s="116">
        <f>IF('Grasland (tijdelijk) huidig'!D18=0,'Grasland (tijdelijk) huidig'!C18,'Grasland (tijdelijk) huidig'!D18)</f>
        <v>4</v>
      </c>
      <c r="E19" s="297"/>
    </row>
    <row r="20" spans="2:5" x14ac:dyDescent="0.3">
      <c r="B20" s="224" t="str">
        <f>'Grasland (tijdelijk) huidig'!B19</f>
        <v>Kosten per jaar</v>
      </c>
      <c r="C20" s="306">
        <f>'Grasland (tijdelijk) huidig'!C19</f>
        <v>154</v>
      </c>
      <c r="D20" s="105">
        <f>IF('Grasland (tijdelijk) huidig'!D19=0,'Grasland (tijdelijk) huidig'!C19,'Grasland (tijdelijk) huidig'!D19)</f>
        <v>154</v>
      </c>
      <c r="E20" s="308">
        <f>(IF(E15=0,C15,E15)+IF(E16=0,C16,E16)+IF(E17=0,C17,E17)+IF(E18=0,C18,E18))/IF(E19=0,C19,E19)</f>
        <v>154</v>
      </c>
    </row>
    <row r="21" spans="2:5" x14ac:dyDescent="0.3">
      <c r="B21" s="200"/>
      <c r="C21" s="200"/>
      <c r="D21" s="302"/>
      <c r="E21" s="300"/>
    </row>
    <row r="22" spans="2:5" x14ac:dyDescent="0.3">
      <c r="B22" s="193" t="str">
        <f>'Grasland (tijdelijk) huidig'!B21</f>
        <v>Bemesten</v>
      </c>
      <c r="C22" s="193"/>
      <c r="D22" s="305"/>
      <c r="E22" s="204"/>
    </row>
    <row r="23" spans="2:5" x14ac:dyDescent="0.3">
      <c r="B23" s="11" t="str">
        <f>'Grasland (tijdelijk) huidig'!B22</f>
        <v>Dierlijke mest uitrijden</v>
      </c>
      <c r="C23" s="48">
        <f>'Grasland (tijdelijk) huidig'!C22</f>
        <v>125</v>
      </c>
      <c r="D23" s="103">
        <f>IF('Grasland (tijdelijk) huidig'!D22=0,'Grasland (tijdelijk) huidig'!C22,'Grasland (tijdelijk) huidig'!D22)</f>
        <v>125</v>
      </c>
      <c r="E23" s="285"/>
    </row>
    <row r="24" spans="2:5" x14ac:dyDescent="0.3">
      <c r="B24" s="11" t="str">
        <f>'Grasland (tijdelijk) huidig'!B23</f>
        <v>Kunstmest aanvoer (of dergelijken)</v>
      </c>
      <c r="C24" s="48">
        <f>'Grasland (tijdelijk) huidig'!C23</f>
        <v>140</v>
      </c>
      <c r="D24" s="103">
        <f>IF('Grasland (tijdelijk) huidig'!D23=0,'Grasland (tijdelijk) huidig'!C23,'Grasland (tijdelijk) huidig'!D23)</f>
        <v>140</v>
      </c>
      <c r="E24" s="285"/>
    </row>
    <row r="25" spans="2:5" x14ac:dyDescent="0.3">
      <c r="B25" s="11" t="str">
        <f>'Grasland (tijdelijk) huidig'!B24</f>
        <v>Kunstmest strooien</v>
      </c>
      <c r="C25" s="48">
        <f>'Grasland (tijdelijk) huidig'!C24</f>
        <v>57</v>
      </c>
      <c r="D25" s="103">
        <f>IF('Grasland (tijdelijk) huidig'!D24=0,'Grasland (tijdelijk) huidig'!C24,'Grasland (tijdelijk) huidig'!D24)</f>
        <v>57</v>
      </c>
      <c r="E25" s="285"/>
    </row>
    <row r="26" spans="2:5" x14ac:dyDescent="0.3">
      <c r="B26" s="224" t="str">
        <f>'Grasland (tijdelijk) huidig'!B25</f>
        <v>Kosten per jaar</v>
      </c>
      <c r="C26" s="306">
        <f>'Grasland (tijdelijk) huidig'!C25</f>
        <v>322</v>
      </c>
      <c r="D26" s="105">
        <f>IF('Grasland (tijdelijk) huidig'!D25=0,'Grasland (tijdelijk) huidig'!C25,'Grasland (tijdelijk) huidig'!D25)</f>
        <v>322</v>
      </c>
      <c r="E26" s="308">
        <f>IF(E25=0,C25,E25)+IF(E22=0,C22,E22)+IF(E23=0,C23,E23)+IF(E24=0,C24,E24)</f>
        <v>322</v>
      </c>
    </row>
    <row r="27" spans="2:5" x14ac:dyDescent="0.3">
      <c r="B27" s="200"/>
      <c r="C27" s="200"/>
      <c r="D27" s="302"/>
      <c r="E27" s="300"/>
    </row>
    <row r="28" spans="2:5" x14ac:dyDescent="0.3">
      <c r="B28" s="193" t="str">
        <f>'Grasland (tijdelijk) huidig'!B27</f>
        <v>Gewasbescherming</v>
      </c>
      <c r="C28" s="193"/>
      <c r="D28" s="305"/>
      <c r="E28" s="204"/>
    </row>
    <row r="29" spans="2:5" x14ac:dyDescent="0.3">
      <c r="B29" s="11" t="str">
        <f>'Grasland (tijdelijk) huidig'!B28</f>
        <v>1x spuiten (incl GBM)</v>
      </c>
      <c r="C29" s="48">
        <f>'Grasland (tijdelijk) huidig'!C28</f>
        <v>103</v>
      </c>
      <c r="D29" s="103">
        <f>IF('Grasland (tijdelijk) huidig'!D28=0,'Grasland (tijdelijk) huidig'!C28,'Grasland (tijdelijk) huidig'!D28)</f>
        <v>103</v>
      </c>
      <c r="E29" s="285"/>
    </row>
    <row r="30" spans="2:5" x14ac:dyDescent="0.3">
      <c r="B30" s="11" t="str">
        <f>'Grasland (tijdelijk) huidig'!B29</f>
        <v>Aantal keer spuiten per 10 jaar</v>
      </c>
      <c r="C30" s="115">
        <f>'Grasland (tijdelijk) huidig'!C29</f>
        <v>2</v>
      </c>
      <c r="D30" s="116">
        <f>IF('Grasland (tijdelijk) huidig'!D29=0,'Grasland (tijdelijk) huidig'!C29,'Grasland (tijdelijk) huidig'!D29)</f>
        <v>2</v>
      </c>
      <c r="E30" s="297"/>
    </row>
    <row r="31" spans="2:5" x14ac:dyDescent="0.3">
      <c r="B31" s="224" t="str">
        <f>'Grasland (tijdelijk) huidig'!B30</f>
        <v>Kosten per jaar</v>
      </c>
      <c r="C31" s="306">
        <f>'Grasland (tijdelijk) huidig'!C30</f>
        <v>20.6</v>
      </c>
      <c r="D31" s="105">
        <f>IF('Grasland (tijdelijk) huidig'!D30=0,'Grasland (tijdelijk) huidig'!C30,'Grasland (tijdelijk) huidig'!D30)</f>
        <v>20.6</v>
      </c>
      <c r="E31" s="308">
        <f>IF(E29=0,C29,E29)*IF(E30=0,C30,E30)/10</f>
        <v>20.6</v>
      </c>
    </row>
    <row r="32" spans="2:5" x14ac:dyDescent="0.3">
      <c r="B32" s="200"/>
      <c r="C32" s="200"/>
      <c r="D32" s="302"/>
      <c r="E32" s="300"/>
    </row>
    <row r="33" spans="2:7" x14ac:dyDescent="0.3">
      <c r="B33" s="193" t="str">
        <f>'Grasland (tijdelijk) huidig'!B32</f>
        <v>Oogsten</v>
      </c>
      <c r="C33" s="193"/>
      <c r="D33" s="305"/>
      <c r="E33" s="204"/>
    </row>
    <row r="34" spans="2:7" x14ac:dyDescent="0.3">
      <c r="B34" s="11" t="str">
        <f>'Grasland (tijdelijk) huidig'!B33</f>
        <v>Maaisnedes per jaar</v>
      </c>
      <c r="C34" s="115">
        <f>'Grasland (tijdelijk) huidig'!C33</f>
        <v>5</v>
      </c>
      <c r="D34" s="116">
        <f>IF('Grasland (tijdelijk) huidig'!D33=0,'Grasland (tijdelijk) huidig'!C33,'Grasland (tijdelijk) huidig'!D33)</f>
        <v>5</v>
      </c>
      <c r="E34" s="297"/>
      <c r="G34" t="s">
        <v>55</v>
      </c>
    </row>
    <row r="35" spans="2:7" x14ac:dyDescent="0.3">
      <c r="B35" s="11" t="str">
        <f>'Grasland (tijdelijk) huidig'!B34</f>
        <v>Maaien, schudden, Harken, oprapen</v>
      </c>
      <c r="C35" s="48">
        <f>'Grasland (tijdelijk) huidig'!C34</f>
        <v>146</v>
      </c>
      <c r="D35" s="103">
        <f>IF('Grasland (tijdelijk) huidig'!D34=0,'Grasland (tijdelijk) huidig'!C34,'Grasland (tijdelijk) huidig'!D34)</f>
        <v>146</v>
      </c>
      <c r="E35" s="285"/>
    </row>
    <row r="36" spans="2:7" x14ac:dyDescent="0.3">
      <c r="B36" s="11" t="str">
        <f>'Grasland (tijdelijk) huidig'!B35</f>
        <v>Toevoegmiddelen</v>
      </c>
      <c r="C36" s="48">
        <f>'Grasland (tijdelijk) huidig'!C35</f>
        <v>31</v>
      </c>
      <c r="D36" s="103">
        <f>IF('Grasland (tijdelijk) huidig'!D35=0,'Grasland (tijdelijk) huidig'!C35,'Grasland (tijdelijk) huidig'!D35)</f>
        <v>31</v>
      </c>
      <c r="E36" s="285"/>
    </row>
    <row r="37" spans="2:7" x14ac:dyDescent="0.3">
      <c r="B37" s="224" t="str">
        <f>'Grasland (tijdelijk) huidig'!B36</f>
        <v>Kosten per jaar</v>
      </c>
      <c r="C37" s="306">
        <f>'Grasland (tijdelijk) huidig'!C36</f>
        <v>761</v>
      </c>
      <c r="D37" s="105">
        <f>IF('Grasland (tijdelijk) huidig'!D36=0,'Grasland (tijdelijk) huidig'!C36,'Grasland (tijdelijk) huidig'!D36)</f>
        <v>761</v>
      </c>
      <c r="E37" s="308">
        <f>(IF(E34=0,C34,E34)*IF(E35=0,C35,E35))+IF(E36=0,C36,E36)</f>
        <v>761</v>
      </c>
    </row>
    <row r="38" spans="2:7" x14ac:dyDescent="0.3">
      <c r="B38" s="200"/>
      <c r="C38" s="200"/>
      <c r="D38" s="302"/>
      <c r="E38" s="300"/>
    </row>
    <row r="39" spans="2:7" x14ac:dyDescent="0.3">
      <c r="B39" s="11" t="str">
        <f>'Grasland (tijdelijk) huidig'!B38</f>
        <v>Kosten per Ha</v>
      </c>
      <c r="C39" s="48">
        <f>'Grasland (tijdelijk) huidig'!C38</f>
        <v>1257.5999999999999</v>
      </c>
      <c r="D39" s="103">
        <f>IF('Grasland (tijdelijk) huidig'!D38=0,'Grasland (tijdelijk) huidig'!C38,'Grasland (tijdelijk) huidig'!D38)</f>
        <v>1257.5999999999999</v>
      </c>
      <c r="E39" s="48">
        <f>E37+E31+E26+E20</f>
        <v>1257.5999999999999</v>
      </c>
    </row>
    <row r="40" spans="2:7" x14ac:dyDescent="0.3">
      <c r="B40" s="11" t="str">
        <f>'Grasland (tijdelijk) huidig'!B39</f>
        <v>Kosten per KG DS</v>
      </c>
      <c r="C40" s="47">
        <f>'Grasland (tijdelijk) huidig'!C39</f>
        <v>0.12575999999999998</v>
      </c>
      <c r="D40" s="102">
        <f>IF('Grasland (tijdelijk) huidig'!D39=0,'Grasland (tijdelijk) huidig'!C39,'Grasland (tijdelijk) huidig'!D39)</f>
        <v>0.12575999999999998</v>
      </c>
      <c r="E40" s="47">
        <f>IF(E10=0,E39/C10,E39/E10)</f>
        <v>0.12575999999999998</v>
      </c>
    </row>
    <row r="41" spans="2:7" x14ac:dyDescent="0.3">
      <c r="B41" s="11" t="str">
        <f>'Grasland (tijdelijk) huidig'!B40</f>
        <v>Kosten per kVEM</v>
      </c>
      <c r="C41" s="47">
        <f>'Grasland (tijdelijk) huidig'!C40</f>
        <v>0.13896132596685082</v>
      </c>
      <c r="D41" s="102">
        <f>IF('Grasland (tijdelijk) huidig'!D40=0,'Grasland (tijdelijk) huidig'!C40,'Grasland (tijdelijk) huidig'!D40)</f>
        <v>0.13896132596685082</v>
      </c>
      <c r="E41" s="47">
        <f>IF(E10=0,IF(E11=0,E39/(C10*C11),E39/C10*E11),IF(E11=0,E39/(E10*C11),E39/E10*E11))*1000</f>
        <v>0.13896132596685082</v>
      </c>
    </row>
  </sheetData>
  <sheetProtection sheet="1" objects="1" scenarios="1" selectLockedCells="1"/>
  <mergeCells count="1">
    <mergeCell ref="B2:E3"/>
  </mergeCells>
  <conditionalFormatting sqref="E10:E12 E15:E41">
    <cfRule type="expression" dxfId="51" priority="100">
      <formula>$B$5&lt;3</formula>
    </cfRule>
  </conditionalFormatting>
  <conditionalFormatting sqref="D10:D12 D15:D41">
    <cfRule type="expression" dxfId="50" priority="102">
      <formula>$B$5=2</formula>
    </cfRule>
  </conditionalFormatting>
  <conditionalFormatting sqref="D33 D28 D22 D14 D9 D20 D26 D31 D37">
    <cfRule type="expression" dxfId="49" priority="2">
      <formula>$B$5=2</formula>
    </cfRule>
  </conditionalFormatting>
  <conditionalFormatting sqref="E9 E14">
    <cfRule type="expression" dxfId="48" priority="1">
      <formula>$B$5=3</formula>
    </cfRule>
  </conditionalFormatting>
  <dataValidations count="1">
    <dataValidation type="decimal" operator="greaterThanOrEqual" allowBlank="1" showInputMessage="1" showErrorMessage="1" errorTitle="Fout" error="Typ een getal groter of gelijk aan 0." sqref="E10:E12 E15:E19 E23 E24 E25 E29 E30 E34:E35 E36" xr:uid="{3FAD5794-32F4-4707-B59E-F5F6D49FAA07}">
      <formula1>0</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9697" r:id="rId4" name="Option Button 1">
              <controlPr defaultSize="0" autoFill="0" autoLine="0" autoPict="0">
                <anchor moveWithCells="1">
                  <from>
                    <xdr:col>1</xdr:col>
                    <xdr:colOff>0</xdr:colOff>
                    <xdr:row>4</xdr:row>
                    <xdr:rowOff>0</xdr:rowOff>
                  </from>
                  <to>
                    <xdr:col>2</xdr:col>
                    <xdr:colOff>0</xdr:colOff>
                    <xdr:row>5</xdr:row>
                    <xdr:rowOff>0</xdr:rowOff>
                  </to>
                </anchor>
              </controlPr>
            </control>
          </mc:Choice>
        </mc:AlternateContent>
        <mc:AlternateContent xmlns:mc="http://schemas.openxmlformats.org/markup-compatibility/2006">
          <mc:Choice Requires="x14">
            <control shapeId="29698" r:id="rId5" name="Option Button 2">
              <controlPr defaultSize="0" autoFill="0" autoLine="0" autoPict="0">
                <anchor moveWithCells="1">
                  <from>
                    <xdr:col>1</xdr:col>
                    <xdr:colOff>0</xdr:colOff>
                    <xdr:row>4</xdr:row>
                    <xdr:rowOff>182880</xdr:rowOff>
                  </from>
                  <to>
                    <xdr:col>2</xdr:col>
                    <xdr:colOff>0</xdr:colOff>
                    <xdr:row>6</xdr:row>
                    <xdr:rowOff>7620</xdr:rowOff>
                  </to>
                </anchor>
              </controlPr>
            </control>
          </mc:Choice>
        </mc:AlternateContent>
        <mc:AlternateContent xmlns:mc="http://schemas.openxmlformats.org/markup-compatibility/2006">
          <mc:Choice Requires="x14">
            <control shapeId="29699" r:id="rId6" name="Option Button 3">
              <controlPr defaultSize="0" autoFill="0" autoLine="0" autoPict="0">
                <anchor moveWithCells="1">
                  <from>
                    <xdr:col>1</xdr:col>
                    <xdr:colOff>0</xdr:colOff>
                    <xdr:row>5</xdr:row>
                    <xdr:rowOff>182880</xdr:rowOff>
                  </from>
                  <to>
                    <xdr:col>2</xdr:col>
                    <xdr:colOff>0</xdr:colOff>
                    <xdr:row>7</xdr:row>
                    <xdr:rowOff>7620</xdr:rowOff>
                  </to>
                </anchor>
              </controlPr>
            </control>
          </mc:Choice>
        </mc:AlternateContent>
      </controls>
    </mc:Choice>
  </mc:AlternateContent>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F6FE2C-49C4-4A85-9B41-2D2E8A056DA2}">
  <sheetPr codeName="Blad23">
    <tabColor theme="8" tint="0.59999389629810485"/>
  </sheetPr>
  <dimension ref="B2:G41"/>
  <sheetViews>
    <sheetView showGridLines="0" zoomScale="80" zoomScaleNormal="80" workbookViewId="0">
      <selection activeCell="E17" sqref="E17"/>
    </sheetView>
  </sheetViews>
  <sheetFormatPr defaultRowHeight="14.4" x14ac:dyDescent="0.3"/>
  <cols>
    <col min="1" max="1" width="2.77734375" customWidth="1"/>
    <col min="2" max="2" width="30.5546875" customWidth="1"/>
    <col min="3" max="5" width="16.77734375" customWidth="1"/>
    <col min="6" max="6" width="2.6640625" customWidth="1"/>
  </cols>
  <sheetData>
    <row r="2" spans="2:6" x14ac:dyDescent="0.3">
      <c r="B2" s="456" t="s">
        <v>222</v>
      </c>
      <c r="C2" s="456"/>
      <c r="D2" s="456"/>
      <c r="E2" s="456"/>
    </row>
    <row r="3" spans="2:6" x14ac:dyDescent="0.3">
      <c r="B3" s="456"/>
      <c r="C3" s="456"/>
      <c r="D3" s="456"/>
      <c r="E3" s="456"/>
    </row>
    <row r="5" spans="2:6" x14ac:dyDescent="0.3">
      <c r="B5" s="277">
        <v>1</v>
      </c>
    </row>
    <row r="6" spans="2:6" x14ac:dyDescent="0.3">
      <c r="B6" s="240"/>
    </row>
    <row r="7" spans="2:6" x14ac:dyDescent="0.3">
      <c r="B7" s="240"/>
    </row>
    <row r="9" spans="2:6" x14ac:dyDescent="0.3">
      <c r="B9" s="204"/>
      <c r="C9" s="204" t="str">
        <f>'Grasklaver huidig'!C8</f>
        <v>Gem. opbrengst</v>
      </c>
      <c r="D9" s="303" t="s">
        <v>133</v>
      </c>
      <c r="E9" s="303" t="s">
        <v>102</v>
      </c>
    </row>
    <row r="10" spans="2:6" x14ac:dyDescent="0.3">
      <c r="B10" s="44" t="str">
        <f>'Grasklaver huidig'!B9</f>
        <v>Opbrengst in KG DS</v>
      </c>
      <c r="C10" s="44">
        <f>'Grasklaver huidig'!C9</f>
        <v>10000</v>
      </c>
      <c r="D10" s="68">
        <f>IF('Grasklaver huidig'!D9=0,'Grasklaver huidig'!C9,'Grasklaver huidig'!D9)</f>
        <v>10000</v>
      </c>
      <c r="E10" s="287"/>
    </row>
    <row r="11" spans="2:6" x14ac:dyDescent="0.3">
      <c r="B11" s="44" t="str">
        <f>'Grasklaver huidig'!B10</f>
        <v>VEM per KG DS</v>
      </c>
      <c r="C11" s="44">
        <f>'Grasklaver huidig'!C10</f>
        <v>905</v>
      </c>
      <c r="D11" s="68">
        <f>IF('Grasklaver huidig'!D10=0,'Grasklaver huidig'!C10,'Grasklaver huidig'!D10)</f>
        <v>905</v>
      </c>
      <c r="E11" s="287"/>
    </row>
    <row r="12" spans="2:6" x14ac:dyDescent="0.3">
      <c r="B12" s="44" t="str">
        <f>'Grasklaver huidig'!B11</f>
        <v>DVE per KG DS</v>
      </c>
      <c r="C12" s="44">
        <f>'Grasklaver huidig'!C11</f>
        <v>72</v>
      </c>
      <c r="D12" s="68">
        <f>IF('Grasklaver huidig'!D11=0,'Grasklaver huidig'!C11,'Grasklaver huidig'!D11)</f>
        <v>72</v>
      </c>
      <c r="E12" s="287"/>
    </row>
    <row r="13" spans="2:6" x14ac:dyDescent="0.3">
      <c r="B13" s="300"/>
      <c r="C13" s="300"/>
      <c r="D13" s="300"/>
      <c r="E13" s="300"/>
    </row>
    <row r="14" spans="2:6" x14ac:dyDescent="0.3">
      <c r="B14" s="204" t="str">
        <f>'Grasklaver huidig'!B13</f>
        <v>Inzaaien</v>
      </c>
      <c r="C14" s="204" t="str">
        <f>'Grasklaver huidig'!C13</f>
        <v>Gem. kosten</v>
      </c>
      <c r="D14" s="303" t="s">
        <v>133</v>
      </c>
      <c r="E14" s="303" t="s">
        <v>102</v>
      </c>
    </row>
    <row r="15" spans="2:6" x14ac:dyDescent="0.3">
      <c r="B15" s="44" t="str">
        <f>'Grasklaver huidig'!B14</f>
        <v>Spuiten glyfosaat</v>
      </c>
      <c r="C15" s="48">
        <f>'Grasklaver huidig'!C14</f>
        <v>80</v>
      </c>
      <c r="D15" s="103">
        <f>IF('Grasklaver huidig'!D14=0,'Grasklaver huidig'!C14,'Grasklaver huidig'!D14)</f>
        <v>80</v>
      </c>
      <c r="E15" s="285"/>
    </row>
    <row r="16" spans="2:6" x14ac:dyDescent="0.3">
      <c r="B16" s="44" t="str">
        <f>'Grasklaver huidig'!B15</f>
        <v>Frezen + ploegen</v>
      </c>
      <c r="C16" s="48">
        <f>'Grasklaver huidig'!C15</f>
        <v>236</v>
      </c>
      <c r="D16" s="103">
        <f>IF('Grasklaver huidig'!D15=0,'Grasklaver huidig'!C15,'Grasklaver huidig'!D15)</f>
        <v>236</v>
      </c>
      <c r="E16" s="285"/>
    </row>
    <row r="17" spans="2:5" x14ac:dyDescent="0.3">
      <c r="B17" s="44" t="str">
        <f>'Grasklaver huidig'!B16</f>
        <v>Zaaien</v>
      </c>
      <c r="C17" s="48">
        <f>'Grasklaver huidig'!C16</f>
        <v>102</v>
      </c>
      <c r="D17" s="103">
        <f>IF('Grasklaver huidig'!D16=0,'Grasklaver huidig'!C16,'Grasklaver huidig'!D16)</f>
        <v>102</v>
      </c>
      <c r="E17" s="285"/>
    </row>
    <row r="18" spans="2:5" x14ac:dyDescent="0.3">
      <c r="B18" s="44" t="str">
        <f>'Grasklaver huidig'!B17</f>
        <v>Zaaizaad</v>
      </c>
      <c r="C18" s="48">
        <f>'Grasklaver huidig'!C17</f>
        <v>210</v>
      </c>
      <c r="D18" s="103">
        <f>IF('Grasklaver huidig'!D17=0,'Grasklaver huidig'!C17,'Grasklaver huidig'!D17)</f>
        <v>210</v>
      </c>
      <c r="E18" s="285"/>
    </row>
    <row r="19" spans="2:5" x14ac:dyDescent="0.3">
      <c r="B19" s="44" t="str">
        <f>'Grasklaver huidig'!B18</f>
        <v>Hoeveel jaar</v>
      </c>
      <c r="C19" s="115">
        <f>'Grasklaver huidig'!C18</f>
        <v>4</v>
      </c>
      <c r="D19" s="116">
        <f>IF('Grasklaver huidig'!D18=0,'Grasklaver huidig'!C18,'Grasklaver huidig'!D18)</f>
        <v>4</v>
      </c>
      <c r="E19" s="297"/>
    </row>
    <row r="20" spans="2:5" x14ac:dyDescent="0.3">
      <c r="B20" s="307" t="str">
        <f>'Grasklaver huidig'!B19</f>
        <v>Kosten per jaar</v>
      </c>
      <c r="C20" s="306">
        <f>'Grasklaver huidig'!C19</f>
        <v>157</v>
      </c>
      <c r="D20" s="105">
        <f>IF('Grasklaver huidig'!D19=0,'Grasklaver huidig'!C19,'Grasklaver huidig'!D19)</f>
        <v>157</v>
      </c>
      <c r="E20" s="308">
        <f>(IF(E15=0,C15,E15)+IF(E16=0,C16,E16)+IF(E17=0,C17,E17)+IF(E18=0,C18,E18))/IF(E19=0,C19,E19)</f>
        <v>157</v>
      </c>
    </row>
    <row r="21" spans="2:5" x14ac:dyDescent="0.3">
      <c r="B21" s="300"/>
      <c r="C21" s="300"/>
      <c r="D21" s="301"/>
      <c r="E21" s="300"/>
    </row>
    <row r="22" spans="2:5" x14ac:dyDescent="0.3">
      <c r="B22" s="204" t="str">
        <f>'Grasklaver huidig'!B21</f>
        <v>Bemesten</v>
      </c>
      <c r="C22" s="204"/>
      <c r="D22" s="304"/>
      <c r="E22" s="204"/>
    </row>
    <row r="23" spans="2:5" x14ac:dyDescent="0.3">
      <c r="B23" s="44" t="str">
        <f>'Grasklaver huidig'!B22</f>
        <v>Dierlijke mest uitrijden</v>
      </c>
      <c r="C23" s="48">
        <f>'Grasklaver huidig'!C22</f>
        <v>125</v>
      </c>
      <c r="D23" s="103">
        <f>IF('Grasklaver huidig'!D22=0,'Grasklaver huidig'!C22,'Grasklaver huidig'!D22)</f>
        <v>125</v>
      </c>
      <c r="E23" s="285"/>
    </row>
    <row r="24" spans="2:5" x14ac:dyDescent="0.3">
      <c r="B24" s="44" t="str">
        <f>'Grasklaver huidig'!B23</f>
        <v>Kunstmest aanvoer (of dergelijken)</v>
      </c>
      <c r="C24" s="48">
        <f>'Grasklaver huidig'!C23</f>
        <v>140</v>
      </c>
      <c r="D24" s="103">
        <f>IF('Grasklaver huidig'!D23=0,'Grasklaver huidig'!C23,'Grasklaver huidig'!D23)</f>
        <v>140</v>
      </c>
      <c r="E24" s="285"/>
    </row>
    <row r="25" spans="2:5" x14ac:dyDescent="0.3">
      <c r="B25" s="44" t="str">
        <f>'Grasklaver huidig'!B24</f>
        <v>Kunstmest strooien</v>
      </c>
      <c r="C25" s="48">
        <f>'Grasklaver huidig'!C24</f>
        <v>57</v>
      </c>
      <c r="D25" s="103">
        <f>IF('Grasklaver huidig'!D24=0,'Grasklaver huidig'!C24,'Grasklaver huidig'!D24)</f>
        <v>57</v>
      </c>
      <c r="E25" s="285"/>
    </row>
    <row r="26" spans="2:5" x14ac:dyDescent="0.3">
      <c r="B26" s="307" t="str">
        <f>'Grasklaver huidig'!B25</f>
        <v>Kosten per jaar</v>
      </c>
      <c r="C26" s="306">
        <f>'Grasklaver huidig'!C25</f>
        <v>322</v>
      </c>
      <c r="D26" s="105">
        <f>IF('Grasklaver huidig'!D25=0,'Grasklaver huidig'!C25,'Grasklaver huidig'!D25)</f>
        <v>322</v>
      </c>
      <c r="E26" s="308">
        <f>IF(E25=0,C25,E25)+IF(E22=0,C22,E22)+IF(E23=0,C23,E23)+IF(E24=0,C24,E24)</f>
        <v>322</v>
      </c>
    </row>
    <row r="27" spans="2:5" x14ac:dyDescent="0.3">
      <c r="B27" s="300"/>
      <c r="C27" s="300"/>
      <c r="D27" s="301"/>
      <c r="E27" s="300"/>
    </row>
    <row r="28" spans="2:5" x14ac:dyDescent="0.3">
      <c r="B28" s="204" t="str">
        <f>'Grasklaver huidig'!B27</f>
        <v>Gewasbescherming</v>
      </c>
      <c r="C28" s="204"/>
      <c r="D28" s="304"/>
      <c r="E28" s="204"/>
    </row>
    <row r="29" spans="2:5" x14ac:dyDescent="0.3">
      <c r="B29" s="44" t="str">
        <f>'Grasklaver huidig'!B28</f>
        <v>1x spuiten (incl GWB)</v>
      </c>
      <c r="C29" s="48">
        <f>'Grasklaver huidig'!C28</f>
        <v>0</v>
      </c>
      <c r="D29" s="103">
        <f>IF('Grasklaver huidig'!D28=0,'Grasklaver huidig'!C28,'Grasklaver huidig'!D28)</f>
        <v>0</v>
      </c>
      <c r="E29" s="285"/>
    </row>
    <row r="30" spans="2:5" x14ac:dyDescent="0.3">
      <c r="B30" s="44" t="str">
        <f>'Grasklaver huidig'!B29</f>
        <v>Aantal keer spuiten per 10 jaar</v>
      </c>
      <c r="C30" s="115">
        <f>'Grasklaver huidig'!C29</f>
        <v>0</v>
      </c>
      <c r="D30" s="116">
        <f>IF('Grasklaver huidig'!D29=0,'Grasklaver huidig'!C29,'Grasklaver huidig'!D29)</f>
        <v>0</v>
      </c>
      <c r="E30" s="297"/>
    </row>
    <row r="31" spans="2:5" x14ac:dyDescent="0.3">
      <c r="B31" s="307" t="str">
        <f>'Grasklaver huidig'!B30</f>
        <v>Kosten per jaar</v>
      </c>
      <c r="C31" s="306">
        <f>'Grasklaver huidig'!C30</f>
        <v>0</v>
      </c>
      <c r="D31" s="105">
        <f>IF('Grasklaver huidig'!D30=0,'Grasklaver huidig'!C30,'Grasklaver huidig'!D30)</f>
        <v>0</v>
      </c>
      <c r="E31" s="308">
        <f>IF(E29=0,C29,E29)*IF(E30=0,C30,E30)/10</f>
        <v>0</v>
      </c>
    </row>
    <row r="32" spans="2:5" x14ac:dyDescent="0.3">
      <c r="B32" s="300"/>
      <c r="C32" s="300"/>
      <c r="D32" s="301"/>
      <c r="E32" s="300"/>
    </row>
    <row r="33" spans="2:7" x14ac:dyDescent="0.3">
      <c r="B33" s="204" t="str">
        <f>'Grasklaver huidig'!B32</f>
        <v>Oogsten</v>
      </c>
      <c r="C33" s="204"/>
      <c r="D33" s="304"/>
      <c r="E33" s="204"/>
    </row>
    <row r="34" spans="2:7" x14ac:dyDescent="0.3">
      <c r="B34" s="44" t="str">
        <f>'Grasklaver huidig'!B33</f>
        <v>Maaisnedes per jaar</v>
      </c>
      <c r="C34" s="115">
        <f>'Grasklaver huidig'!C33</f>
        <v>5</v>
      </c>
      <c r="D34" s="116">
        <f>IF('Grasklaver huidig'!D33=0,'Grasklaver huidig'!C33,'Grasklaver huidig'!D33)</f>
        <v>5</v>
      </c>
      <c r="E34" s="297"/>
      <c r="G34" t="s">
        <v>55</v>
      </c>
    </row>
    <row r="35" spans="2:7" x14ac:dyDescent="0.3">
      <c r="B35" s="44" t="str">
        <f>'Grasklaver huidig'!B34</f>
        <v>Maaien, schudden, Harken, oprapen</v>
      </c>
      <c r="C35" s="48">
        <f>'Grasklaver huidig'!C34</f>
        <v>146</v>
      </c>
      <c r="D35" s="103">
        <f>IF('Grasklaver huidig'!D34=0,'Grasklaver huidig'!C34,'Grasklaver huidig'!D34)</f>
        <v>146</v>
      </c>
      <c r="E35" s="285"/>
    </row>
    <row r="36" spans="2:7" x14ac:dyDescent="0.3">
      <c r="B36" s="44" t="str">
        <f>'Grasklaver huidig'!B35</f>
        <v>Toevoegmiddelen</v>
      </c>
      <c r="C36" s="48">
        <f>'Grasklaver huidig'!C35</f>
        <v>31</v>
      </c>
      <c r="D36" s="103">
        <f>IF('Grasklaver huidig'!D35=0,'Grasklaver huidig'!C35,'Grasklaver huidig'!D35)</f>
        <v>31</v>
      </c>
      <c r="E36" s="285"/>
    </row>
    <row r="37" spans="2:7" x14ac:dyDescent="0.3">
      <c r="B37" s="307" t="str">
        <f>'Grasklaver huidig'!B36</f>
        <v>Kosten per jaar</v>
      </c>
      <c r="C37" s="306">
        <f>'Grasklaver huidig'!C36</f>
        <v>761</v>
      </c>
      <c r="D37" s="105">
        <f>IF('Grasklaver huidig'!D36=0,'Grasklaver huidig'!C36,'Grasklaver huidig'!D36)</f>
        <v>761</v>
      </c>
      <c r="E37" s="308">
        <f>(IF(E34=0,C34,E34)*IF(E35=0,C35,E35))+IF(E36=0,C36,E36)</f>
        <v>761</v>
      </c>
    </row>
    <row r="38" spans="2:7" x14ac:dyDescent="0.3">
      <c r="B38" s="300"/>
      <c r="C38" s="300"/>
      <c r="D38" s="301"/>
      <c r="E38" s="300"/>
    </row>
    <row r="39" spans="2:7" x14ac:dyDescent="0.3">
      <c r="B39" s="44" t="str">
        <f>'Grasklaver huidig'!B38</f>
        <v>Kosten per Ha</v>
      </c>
      <c r="C39" s="48">
        <f>'Grasklaver huidig'!C38</f>
        <v>1240</v>
      </c>
      <c r="D39" s="103">
        <f>IF('Grasklaver huidig'!D38=0,'Grasklaver huidig'!C38,'Grasklaver huidig'!D38)</f>
        <v>1240</v>
      </c>
      <c r="E39" s="48">
        <f>E37+E31+E26+E20</f>
        <v>1240</v>
      </c>
    </row>
    <row r="40" spans="2:7" x14ac:dyDescent="0.3">
      <c r="B40" s="44" t="str">
        <f>'Grasklaver huidig'!B39</f>
        <v>Kosten per KG DS</v>
      </c>
      <c r="C40" s="47">
        <f>'Grasklaver huidig'!C39</f>
        <v>0.124</v>
      </c>
      <c r="D40" s="102">
        <f>IF('Grasklaver huidig'!D39=0,'Grasklaver huidig'!C39,'Grasklaver huidig'!D39)</f>
        <v>0.124</v>
      </c>
      <c r="E40" s="47">
        <f>IF(E10=0,E39/C10,E39/E10)</f>
        <v>0.124</v>
      </c>
    </row>
    <row r="41" spans="2:7" x14ac:dyDescent="0.3">
      <c r="B41" s="44" t="str">
        <f>'Grasklaver huidig'!B40</f>
        <v>Kosten per kVEM</v>
      </c>
      <c r="C41" s="47">
        <f>'Grasklaver huidig'!C40</f>
        <v>0.13701657458563535</v>
      </c>
      <c r="D41" s="102">
        <f>IF('Grasklaver huidig'!D40=0,'Grasklaver huidig'!C40,'Grasklaver huidig'!D40)</f>
        <v>0.13701657458563538</v>
      </c>
      <c r="E41" s="47">
        <f>IF(E10=0,IF(E11=0,E39/(C10*C11),E39/C10*E11),IF(E11=0,E39/(E10*C11),E39/E10*E11))*1000</f>
        <v>0.13701657458563538</v>
      </c>
    </row>
  </sheetData>
  <sheetProtection sheet="1" objects="1" scenarios="1" selectLockedCells="1"/>
  <mergeCells count="1">
    <mergeCell ref="B2:E3"/>
  </mergeCells>
  <conditionalFormatting sqref="E10:E12 E15:E41">
    <cfRule type="expression" dxfId="47" priority="103">
      <formula>$B$5&lt;3</formula>
    </cfRule>
  </conditionalFormatting>
  <conditionalFormatting sqref="D10:D12 D15:D41">
    <cfRule type="expression" dxfId="46" priority="105">
      <formula>$B$5=2</formula>
    </cfRule>
  </conditionalFormatting>
  <conditionalFormatting sqref="E14 E9">
    <cfRule type="expression" dxfId="45" priority="2">
      <formula>$B$5=3</formula>
    </cfRule>
  </conditionalFormatting>
  <conditionalFormatting sqref="D9 D14 D22 D28 D33 D20 D26 D31 D37">
    <cfRule type="expression" dxfId="44" priority="1">
      <formula>$B$5=2</formula>
    </cfRule>
  </conditionalFormatting>
  <dataValidations count="1">
    <dataValidation type="decimal" operator="greaterThanOrEqual" allowBlank="1" showInputMessage="1" showErrorMessage="1" errorTitle="Fout" error="Typ een getal groter of gelijk aan 0." sqref="E10:E12 E36 E23:E24 E25 E29 E30 E34 E35 E15:E16 E18:E19 E17" xr:uid="{F529F814-4B4D-4C83-994D-238B2D39B0FD}">
      <formula1>0</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21" r:id="rId4" name="Option Button 1">
              <controlPr defaultSize="0" autoFill="0" autoLine="0" autoPict="0">
                <anchor moveWithCells="1">
                  <from>
                    <xdr:col>1</xdr:col>
                    <xdr:colOff>0</xdr:colOff>
                    <xdr:row>4</xdr:row>
                    <xdr:rowOff>0</xdr:rowOff>
                  </from>
                  <to>
                    <xdr:col>2</xdr:col>
                    <xdr:colOff>0</xdr:colOff>
                    <xdr:row>5</xdr:row>
                    <xdr:rowOff>0</xdr:rowOff>
                  </to>
                </anchor>
              </controlPr>
            </control>
          </mc:Choice>
        </mc:AlternateContent>
        <mc:AlternateContent xmlns:mc="http://schemas.openxmlformats.org/markup-compatibility/2006">
          <mc:Choice Requires="x14">
            <control shapeId="30722" r:id="rId5" name="Option Button 2">
              <controlPr defaultSize="0" autoFill="0" autoLine="0" autoPict="0">
                <anchor moveWithCells="1">
                  <from>
                    <xdr:col>1</xdr:col>
                    <xdr:colOff>0</xdr:colOff>
                    <xdr:row>5</xdr:row>
                    <xdr:rowOff>0</xdr:rowOff>
                  </from>
                  <to>
                    <xdr:col>2</xdr:col>
                    <xdr:colOff>0</xdr:colOff>
                    <xdr:row>6</xdr:row>
                    <xdr:rowOff>0</xdr:rowOff>
                  </to>
                </anchor>
              </controlPr>
            </control>
          </mc:Choice>
        </mc:AlternateContent>
        <mc:AlternateContent xmlns:mc="http://schemas.openxmlformats.org/markup-compatibility/2006">
          <mc:Choice Requires="x14">
            <control shapeId="30723" r:id="rId6" name="Option Button 3">
              <controlPr defaultSize="0" autoFill="0" autoLine="0" autoPict="0">
                <anchor moveWithCells="1">
                  <from>
                    <xdr:col>1</xdr:col>
                    <xdr:colOff>0</xdr:colOff>
                    <xdr:row>6</xdr:row>
                    <xdr:rowOff>0</xdr:rowOff>
                  </from>
                  <to>
                    <xdr:col>2</xdr:col>
                    <xdr:colOff>0</xdr:colOff>
                    <xdr:row>7</xdr:row>
                    <xdr:rowOff>0</xdr:rowOff>
                  </to>
                </anchor>
              </controlPr>
            </control>
          </mc:Choice>
        </mc:AlternateContent>
      </controls>
    </mc:Choice>
  </mc:AlternateContent>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2D667-660C-44C7-9C86-BB0D70B3DC8C}">
  <sheetPr codeName="Blad24">
    <tabColor theme="8" tint="0.59999389629810485"/>
  </sheetPr>
  <dimension ref="B2:G41"/>
  <sheetViews>
    <sheetView showGridLines="0" zoomScale="80" zoomScaleNormal="80" workbookViewId="0">
      <selection activeCell="B5" sqref="B5"/>
    </sheetView>
  </sheetViews>
  <sheetFormatPr defaultRowHeight="14.4" x14ac:dyDescent="0.3"/>
  <cols>
    <col min="1" max="1" width="2.77734375" customWidth="1"/>
    <col min="2" max="2" width="30.5546875" customWidth="1"/>
    <col min="3" max="5" width="16.77734375" customWidth="1"/>
    <col min="6" max="6" width="2.6640625" customWidth="1"/>
  </cols>
  <sheetData>
    <row r="2" spans="2:6" x14ac:dyDescent="0.3">
      <c r="B2" s="456" t="s">
        <v>221</v>
      </c>
      <c r="C2" s="456"/>
      <c r="D2" s="456"/>
      <c r="E2" s="456"/>
    </row>
    <row r="3" spans="2:6" x14ac:dyDescent="0.3">
      <c r="B3" s="456"/>
      <c r="C3" s="456"/>
      <c r="D3" s="456"/>
      <c r="E3" s="456"/>
    </row>
    <row r="5" spans="2:6" x14ac:dyDescent="0.3">
      <c r="B5" s="277">
        <v>1</v>
      </c>
    </row>
    <row r="6" spans="2:6" x14ac:dyDescent="0.3">
      <c r="B6" s="240"/>
    </row>
    <row r="7" spans="2:6" x14ac:dyDescent="0.3">
      <c r="B7" s="240"/>
    </row>
    <row r="9" spans="2:6" x14ac:dyDescent="0.3">
      <c r="B9" s="193"/>
      <c r="C9" s="193" t="str">
        <f>'Kruidenrijk grasland huidig'!C8</f>
        <v>Gem. opbrengst</v>
      </c>
      <c r="D9" s="228" t="s">
        <v>133</v>
      </c>
      <c r="E9" s="303" t="s">
        <v>102</v>
      </c>
    </row>
    <row r="10" spans="2:6" x14ac:dyDescent="0.3">
      <c r="B10" s="11" t="str">
        <f>'Kruidenrijk grasland huidig'!B9</f>
        <v>Opbrengst in KG DS</v>
      </c>
      <c r="C10" s="44">
        <f>'Kruidenrijk grasland huidig'!C9</f>
        <v>10000</v>
      </c>
      <c r="D10" s="68">
        <f>IF('Kruidenrijk grasland huidig'!D9=0,'Kruidenrijk grasland huidig'!C9,'Kruidenrijk grasland huidig'!D9)</f>
        <v>10000</v>
      </c>
      <c r="E10" s="287"/>
    </row>
    <row r="11" spans="2:6" x14ac:dyDescent="0.3">
      <c r="B11" s="11" t="str">
        <f>'Kruidenrijk grasland huidig'!B10</f>
        <v>VEM per KG DS</v>
      </c>
      <c r="C11" s="11">
        <f>'Kruidenrijk grasland huidig'!C10</f>
        <v>905</v>
      </c>
      <c r="D11" s="23">
        <f>IF('Kruidenrijk grasland huidig'!D10=0,'Kruidenrijk grasland huidig'!C10,'Kruidenrijk grasland huidig'!D10)</f>
        <v>905</v>
      </c>
      <c r="E11" s="287"/>
    </row>
    <row r="12" spans="2:6" x14ac:dyDescent="0.3">
      <c r="B12" s="11" t="str">
        <f>'Kruidenrijk grasland huidig'!B11</f>
        <v>DVE per KG DS</v>
      </c>
      <c r="C12" s="11">
        <f>'Kruidenrijk grasland huidig'!C11</f>
        <v>60</v>
      </c>
      <c r="D12" s="23">
        <f>IF('Kruidenrijk grasland huidig'!D11=0,'Kruidenrijk grasland huidig'!C11,'Kruidenrijk grasland huidig'!D11)</f>
        <v>60</v>
      </c>
      <c r="E12" s="287"/>
    </row>
    <row r="13" spans="2:6" x14ac:dyDescent="0.3">
      <c r="B13" s="200"/>
      <c r="C13" s="200"/>
      <c r="D13" s="200"/>
      <c r="E13" s="300"/>
    </row>
    <row r="14" spans="2:6" x14ac:dyDescent="0.3">
      <c r="B14" s="193" t="str">
        <f>'Kruidenrijk grasland huidig'!B13</f>
        <v>Inzaaien</v>
      </c>
      <c r="C14" s="193" t="str">
        <f>'Kruidenrijk grasland huidig'!C13</f>
        <v>Gem. kosten</v>
      </c>
      <c r="D14" s="228" t="s">
        <v>133</v>
      </c>
      <c r="E14" s="303" t="s">
        <v>102</v>
      </c>
    </row>
    <row r="15" spans="2:6" x14ac:dyDescent="0.3">
      <c r="B15" s="11" t="str">
        <f>'Kruidenrijk grasland huidig'!B14</f>
        <v>Spuiten glyfosaat</v>
      </c>
      <c r="C15" s="48">
        <f>'Kruidenrijk grasland huidig'!C14</f>
        <v>80</v>
      </c>
      <c r="D15" s="103">
        <f>IF('Kruidenrijk grasland huidig'!D14=0,'Kruidenrijk grasland huidig'!C14,'Kruidenrijk grasland huidig'!D14)</f>
        <v>80</v>
      </c>
      <c r="E15" s="285"/>
    </row>
    <row r="16" spans="2:6" x14ac:dyDescent="0.3">
      <c r="B16" s="11" t="str">
        <f>'Kruidenrijk grasland huidig'!B15</f>
        <v>Frezen + ploegen</v>
      </c>
      <c r="C16" s="48">
        <f>'Kruidenrijk grasland huidig'!C15</f>
        <v>236</v>
      </c>
      <c r="D16" s="103">
        <f>IF('Kruidenrijk grasland huidig'!D15=0,'Kruidenrijk grasland huidig'!C15,'Kruidenrijk grasland huidig'!D15)</f>
        <v>236</v>
      </c>
      <c r="E16" s="285"/>
    </row>
    <row r="17" spans="2:5" x14ac:dyDescent="0.3">
      <c r="B17" s="11" t="str">
        <f>'Kruidenrijk grasland huidig'!B16</f>
        <v>Zaaien</v>
      </c>
      <c r="C17" s="48">
        <f>'Kruidenrijk grasland huidig'!C16</f>
        <v>102</v>
      </c>
      <c r="D17" s="103">
        <f>IF('Kruidenrijk grasland huidig'!D16=0,'Kruidenrijk grasland huidig'!C16,'Kruidenrijk grasland huidig'!D16)</f>
        <v>102</v>
      </c>
      <c r="E17" s="285"/>
    </row>
    <row r="18" spans="2:5" x14ac:dyDescent="0.3">
      <c r="B18" s="11" t="str">
        <f>'Kruidenrijk grasland huidig'!B17</f>
        <v>Zaaizaad</v>
      </c>
      <c r="C18" s="48">
        <f>'Kruidenrijk grasland huidig'!C17</f>
        <v>350</v>
      </c>
      <c r="D18" s="103">
        <f>IF('Kruidenrijk grasland huidig'!D17=0,'Kruidenrijk grasland huidig'!C17,'Kruidenrijk grasland huidig'!D17)</f>
        <v>350</v>
      </c>
      <c r="E18" s="285"/>
    </row>
    <row r="19" spans="2:5" x14ac:dyDescent="0.3">
      <c r="B19" s="11" t="str">
        <f>'Kruidenrijk grasland huidig'!B18</f>
        <v>Hoeveel jaar</v>
      </c>
      <c r="C19" s="115">
        <f>'Kruidenrijk grasland huidig'!C18</f>
        <v>4</v>
      </c>
      <c r="D19" s="116">
        <f>IF('Kruidenrijk grasland huidig'!D18=0,'Kruidenrijk grasland huidig'!C18,'Kruidenrijk grasland huidig'!D18)</f>
        <v>4</v>
      </c>
      <c r="E19" s="297"/>
    </row>
    <row r="20" spans="2:5" x14ac:dyDescent="0.3">
      <c r="B20" s="224" t="str">
        <f>'Kruidenrijk grasland huidig'!B19</f>
        <v>Kosten per jaar</v>
      </c>
      <c r="C20" s="306">
        <f>'Kruidenrijk grasland huidig'!C19</f>
        <v>192</v>
      </c>
      <c r="D20" s="105">
        <f>IF('Kruidenrijk grasland huidig'!D19=0,'Kruidenrijk grasland huidig'!C19,'Kruidenrijk grasland huidig'!D19)</f>
        <v>192</v>
      </c>
      <c r="E20" s="308">
        <f>(IF(E15=0,C15,E15)+IF(E16=0,C16,E16)+IF(E17=0,C17,E17)+IF(E18=0,C18,E18))/IF(E19=0,C19,E19)</f>
        <v>192</v>
      </c>
    </row>
    <row r="21" spans="2:5" x14ac:dyDescent="0.3">
      <c r="B21" s="200"/>
      <c r="C21" s="200"/>
      <c r="D21" s="302"/>
      <c r="E21" s="300"/>
    </row>
    <row r="22" spans="2:5" x14ac:dyDescent="0.3">
      <c r="B22" s="193" t="str">
        <f>'Kruidenrijk grasland huidig'!B21</f>
        <v>Bemesten</v>
      </c>
      <c r="C22" s="193"/>
      <c r="D22" s="305"/>
      <c r="E22" s="204"/>
    </row>
    <row r="23" spans="2:5" x14ac:dyDescent="0.3">
      <c r="B23" s="11" t="str">
        <f>'Kruidenrijk grasland huidig'!B22</f>
        <v>Dierlijke mest uitrijden</v>
      </c>
      <c r="C23" s="48">
        <f>'Kruidenrijk grasland huidig'!C22</f>
        <v>100</v>
      </c>
      <c r="D23" s="103">
        <f>IF('Kruidenrijk grasland huidig'!D22=0,'Kruidenrijk grasland huidig'!C22,'Kruidenrijk grasland huidig'!D22)</f>
        <v>100</v>
      </c>
      <c r="E23" s="285"/>
    </row>
    <row r="24" spans="2:5" x14ac:dyDescent="0.3">
      <c r="B24" s="11" t="str">
        <f>'Kruidenrijk grasland huidig'!B23</f>
        <v>Kunstmest aanvoer (of dergelijken)</v>
      </c>
      <c r="C24" s="48">
        <f>'Kruidenrijk grasland huidig'!C23</f>
        <v>0</v>
      </c>
      <c r="D24" s="103">
        <f>IF('Kruidenrijk grasland huidig'!D23=0,'Kruidenrijk grasland huidig'!C23,'Kruidenrijk grasland huidig'!D23)</f>
        <v>0</v>
      </c>
      <c r="E24" s="285"/>
    </row>
    <row r="25" spans="2:5" x14ac:dyDescent="0.3">
      <c r="B25" s="11" t="str">
        <f>'Kruidenrijk grasland huidig'!B24</f>
        <v>Kunstmest strooien</v>
      </c>
      <c r="C25" s="48">
        <f>'Kruidenrijk grasland huidig'!C24</f>
        <v>0</v>
      </c>
      <c r="D25" s="103">
        <f>IF('Kruidenrijk grasland huidig'!D24=0,'Kruidenrijk grasland huidig'!C24,'Kruidenrijk grasland huidig'!D24)</f>
        <v>0</v>
      </c>
      <c r="E25" s="285"/>
    </row>
    <row r="26" spans="2:5" x14ac:dyDescent="0.3">
      <c r="B26" s="224" t="str">
        <f>'Kruidenrijk grasland huidig'!B25</f>
        <v>Kosten per jaar</v>
      </c>
      <c r="C26" s="306">
        <f>'Kruidenrijk grasland huidig'!C25</f>
        <v>100</v>
      </c>
      <c r="D26" s="105">
        <f>IF('Kruidenrijk grasland huidig'!D25=0,'Kruidenrijk grasland huidig'!C25,'Kruidenrijk grasland huidig'!D25)</f>
        <v>100</v>
      </c>
      <c r="E26" s="308">
        <f>IF(E25=0,C25,E25)+IF(E22=0,C22,E22)+IF(E23=0,C23,E23)+IF(E24=0,C24,E24)</f>
        <v>100</v>
      </c>
    </row>
    <row r="27" spans="2:5" x14ac:dyDescent="0.3">
      <c r="B27" s="200"/>
      <c r="C27" s="200"/>
      <c r="D27" s="302"/>
      <c r="E27" s="300"/>
    </row>
    <row r="28" spans="2:5" x14ac:dyDescent="0.3">
      <c r="B28" s="193" t="str">
        <f>'Kruidenrijk grasland huidig'!B27</f>
        <v>Gewasbescherming</v>
      </c>
      <c r="C28" s="193"/>
      <c r="D28" s="305"/>
      <c r="E28" s="204"/>
    </row>
    <row r="29" spans="2:5" x14ac:dyDescent="0.3">
      <c r="B29" s="11" t="str">
        <f>'Kruidenrijk grasland huidig'!B28</f>
        <v>1x spuiten (incl GWB)</v>
      </c>
      <c r="C29" s="48">
        <f>'Kruidenrijk grasland huidig'!C28</f>
        <v>0</v>
      </c>
      <c r="D29" s="103">
        <f>IF('Kruidenrijk grasland huidig'!D28=0,'Kruidenrijk grasland huidig'!C28,'Kruidenrijk grasland huidig'!D28)</f>
        <v>0</v>
      </c>
      <c r="E29" s="285"/>
    </row>
    <row r="30" spans="2:5" x14ac:dyDescent="0.3">
      <c r="B30" s="11" t="str">
        <f>'Kruidenrijk grasland huidig'!B29</f>
        <v>Aantal keer spuiten per 10 jaar</v>
      </c>
      <c r="C30" s="115">
        <f>'Kruidenrijk grasland huidig'!C29</f>
        <v>0</v>
      </c>
      <c r="D30" s="116">
        <f>IF('Kruidenrijk grasland huidig'!D29=0,'Kruidenrijk grasland huidig'!C29,'Kruidenrijk grasland huidig'!D29)</f>
        <v>0</v>
      </c>
      <c r="E30" s="297"/>
    </row>
    <row r="31" spans="2:5" x14ac:dyDescent="0.3">
      <c r="B31" s="224" t="str">
        <f>'Kruidenrijk grasland huidig'!B30</f>
        <v>Kosten per jaar</v>
      </c>
      <c r="C31" s="306">
        <f>'Kruidenrijk grasland huidig'!C30</f>
        <v>0</v>
      </c>
      <c r="D31" s="105">
        <f>IF('Kruidenrijk grasland huidig'!D30=0,'Kruidenrijk grasland huidig'!C30,'Kruidenrijk grasland huidig'!D30)</f>
        <v>0</v>
      </c>
      <c r="E31" s="308">
        <f>IF(E29=0,C29,E29)*IF(E30=0,C30,E30)/10</f>
        <v>0</v>
      </c>
    </row>
    <row r="32" spans="2:5" x14ac:dyDescent="0.3">
      <c r="B32" s="200"/>
      <c r="C32" s="200"/>
      <c r="D32" s="302"/>
      <c r="E32" s="300"/>
    </row>
    <row r="33" spans="2:7" x14ac:dyDescent="0.3">
      <c r="B33" s="193" t="str">
        <f>'Kruidenrijk grasland huidig'!B32</f>
        <v>Oogsten</v>
      </c>
      <c r="C33" s="193"/>
      <c r="D33" s="305"/>
      <c r="E33" s="204"/>
    </row>
    <row r="34" spans="2:7" x14ac:dyDescent="0.3">
      <c r="B34" s="11" t="str">
        <f>'Kruidenrijk grasland huidig'!B33</f>
        <v>Maaisnedes per jaar</v>
      </c>
      <c r="C34" s="115">
        <f>'Kruidenrijk grasland huidig'!C33</f>
        <v>5</v>
      </c>
      <c r="D34" s="116">
        <f>IF('Kruidenrijk grasland huidig'!D33=0,'Kruidenrijk grasland huidig'!C33,'Kruidenrijk grasland huidig'!D33)</f>
        <v>5</v>
      </c>
      <c r="E34" s="297"/>
      <c r="G34" t="s">
        <v>55</v>
      </c>
    </row>
    <row r="35" spans="2:7" x14ac:dyDescent="0.3">
      <c r="B35" s="11" t="str">
        <f>'Kruidenrijk grasland huidig'!B34</f>
        <v>Maaien, schudden, Harken, oprapen</v>
      </c>
      <c r="C35" s="48">
        <f>'Kruidenrijk grasland huidig'!C34</f>
        <v>146</v>
      </c>
      <c r="D35" s="103">
        <f>IF('Kruidenrijk grasland huidig'!D34=0,'Kruidenrijk grasland huidig'!C34,'Kruidenrijk grasland huidig'!D34)</f>
        <v>146</v>
      </c>
      <c r="E35" s="285"/>
    </row>
    <row r="36" spans="2:7" x14ac:dyDescent="0.3">
      <c r="B36" s="11" t="str">
        <f>'Kruidenrijk grasland huidig'!B35</f>
        <v>Toevoegmiddelen</v>
      </c>
      <c r="C36" s="48">
        <f>'Kruidenrijk grasland huidig'!C35</f>
        <v>31</v>
      </c>
      <c r="D36" s="103">
        <f>IF('Kruidenrijk grasland huidig'!D35=0,'Kruidenrijk grasland huidig'!C35,'Kruidenrijk grasland huidig'!D35)</f>
        <v>31</v>
      </c>
      <c r="E36" s="285"/>
    </row>
    <row r="37" spans="2:7" x14ac:dyDescent="0.3">
      <c r="B37" s="224" t="str">
        <f>'Kruidenrijk grasland huidig'!B36</f>
        <v>Kosten per jaar</v>
      </c>
      <c r="C37" s="306">
        <f>'Kruidenrijk grasland huidig'!C36</f>
        <v>761</v>
      </c>
      <c r="D37" s="105">
        <f>IF('Kruidenrijk grasland huidig'!D36=0,'Kruidenrijk grasland huidig'!C36,'Kruidenrijk grasland huidig'!D36)</f>
        <v>761</v>
      </c>
      <c r="E37" s="308">
        <f>(IF(E34=0,C34,E34)*IF(E35=0,C35,E35))+IF(E36=0,C36,E36)</f>
        <v>761</v>
      </c>
    </row>
    <row r="38" spans="2:7" x14ac:dyDescent="0.3">
      <c r="B38" s="200"/>
      <c r="C38" s="200"/>
      <c r="D38" s="302"/>
      <c r="E38" s="300"/>
      <c r="F38" s="26"/>
    </row>
    <row r="39" spans="2:7" x14ac:dyDescent="0.3">
      <c r="B39" s="11" t="str">
        <f>'Kruidenrijk grasland huidig'!B38</f>
        <v>Kosten per Ha</v>
      </c>
      <c r="C39" s="48">
        <f>'Kruidenrijk grasland huidig'!C38</f>
        <v>1053</v>
      </c>
      <c r="D39" s="103">
        <f>IF('Kruidenrijk grasland huidig'!D38=0,'Kruidenrijk grasland huidig'!C38,'Kruidenrijk grasland huidig'!D38)</f>
        <v>1053</v>
      </c>
      <c r="E39" s="48">
        <f>E37+E31+E26+E20</f>
        <v>1053</v>
      </c>
    </row>
    <row r="40" spans="2:7" x14ac:dyDescent="0.3">
      <c r="B40" s="47" t="str">
        <f>'Kruidenrijk grasland huidig'!B39</f>
        <v>Kosten per KG DS</v>
      </c>
      <c r="C40" s="47">
        <f>'Kruidenrijk grasland huidig'!C39</f>
        <v>0.1053</v>
      </c>
      <c r="D40" s="102">
        <f>IF('Kruidenrijk grasland huidig'!D39=0,'Kruidenrijk grasland huidig'!C39,'Kruidenrijk grasland huidig'!D39)</f>
        <v>0.1053</v>
      </c>
      <c r="E40" s="47">
        <f>IF(E10=0,E39/C10,E39/E10)</f>
        <v>0.1053</v>
      </c>
    </row>
    <row r="41" spans="2:7" x14ac:dyDescent="0.3">
      <c r="B41" s="47" t="str">
        <f>'Kruidenrijk grasland huidig'!B40</f>
        <v>Kosten per kVEM</v>
      </c>
      <c r="C41" s="47">
        <f>'Kruidenrijk grasland huidig'!C40</f>
        <v>0.116353591160221</v>
      </c>
      <c r="D41" s="102">
        <f>IF('Kruidenrijk grasland huidig'!D40=0,'Kruidenrijk grasland huidig'!C40,'Kruidenrijk grasland huidig'!D40)</f>
        <v>0.116353591160221</v>
      </c>
      <c r="E41" s="47">
        <f>IF(E10=0,IF(E11=0,E39/(C10*C11),E39/C10*E11),IF(E11=0,E39/(E10*C11),E39/E10*E11))*1000</f>
        <v>0.116353591160221</v>
      </c>
    </row>
  </sheetData>
  <sheetProtection sheet="1" objects="1" scenarios="1" selectLockedCells="1"/>
  <mergeCells count="1">
    <mergeCell ref="B2:E3"/>
  </mergeCells>
  <conditionalFormatting sqref="E10:E12 E15:E41">
    <cfRule type="expression" dxfId="43" priority="106">
      <formula>$B$5&lt;3</formula>
    </cfRule>
  </conditionalFormatting>
  <conditionalFormatting sqref="D10:D12 D15:D41">
    <cfRule type="expression" dxfId="42" priority="108">
      <formula>$B$5=2</formula>
    </cfRule>
  </conditionalFormatting>
  <conditionalFormatting sqref="E14 E9">
    <cfRule type="expression" dxfId="41" priority="2">
      <formula>$B$5=3</formula>
    </cfRule>
  </conditionalFormatting>
  <conditionalFormatting sqref="D9 D14 D20 D22 D26 D28 D31 D33 D37">
    <cfRule type="expression" dxfId="40" priority="1">
      <formula>$B$5=2</formula>
    </cfRule>
  </conditionalFormatting>
  <dataValidations count="1">
    <dataValidation type="decimal" operator="greaterThanOrEqual" allowBlank="1" showInputMessage="1" showErrorMessage="1" errorTitle="Fout" error="Typ een getal groter of gelijk aan 0." sqref="E10:E12 E15:E19 E23 E24 E25 E29 E30 E34:E36" xr:uid="{ABE227FE-5759-4D78-8F1C-5E94D22EB12E}">
      <formula1>0</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Option Button 1">
              <controlPr defaultSize="0" autoFill="0" autoLine="0" autoPict="0">
                <anchor moveWithCells="1">
                  <from>
                    <xdr:col>1</xdr:col>
                    <xdr:colOff>0</xdr:colOff>
                    <xdr:row>4</xdr:row>
                    <xdr:rowOff>0</xdr:rowOff>
                  </from>
                  <to>
                    <xdr:col>2</xdr:col>
                    <xdr:colOff>0</xdr:colOff>
                    <xdr:row>5</xdr:row>
                    <xdr:rowOff>7620</xdr:rowOff>
                  </to>
                </anchor>
              </controlPr>
            </control>
          </mc:Choice>
        </mc:AlternateContent>
        <mc:AlternateContent xmlns:mc="http://schemas.openxmlformats.org/markup-compatibility/2006">
          <mc:Choice Requires="x14">
            <control shapeId="31746" r:id="rId5" name="Option Button 2">
              <controlPr defaultSize="0" autoFill="0" autoLine="0" autoPict="0">
                <anchor moveWithCells="1">
                  <from>
                    <xdr:col>1</xdr:col>
                    <xdr:colOff>0</xdr:colOff>
                    <xdr:row>5</xdr:row>
                    <xdr:rowOff>0</xdr:rowOff>
                  </from>
                  <to>
                    <xdr:col>2</xdr:col>
                    <xdr:colOff>0</xdr:colOff>
                    <xdr:row>6</xdr:row>
                    <xdr:rowOff>0</xdr:rowOff>
                  </to>
                </anchor>
              </controlPr>
            </control>
          </mc:Choice>
        </mc:AlternateContent>
        <mc:AlternateContent xmlns:mc="http://schemas.openxmlformats.org/markup-compatibility/2006">
          <mc:Choice Requires="x14">
            <control shapeId="31747" r:id="rId6" name="Option Button 3">
              <controlPr defaultSize="0" autoFill="0" autoLine="0" autoPict="0">
                <anchor moveWithCells="1">
                  <from>
                    <xdr:col>1</xdr:col>
                    <xdr:colOff>0</xdr:colOff>
                    <xdr:row>6</xdr:row>
                    <xdr:rowOff>0</xdr:rowOff>
                  </from>
                  <to>
                    <xdr:col>2</xdr:col>
                    <xdr:colOff>0</xdr:colOff>
                    <xdr:row>7</xdr:row>
                    <xdr:rowOff>0</xdr:rowOff>
                  </to>
                </anchor>
              </controlPr>
            </control>
          </mc:Choice>
        </mc:AlternateContent>
      </controls>
    </mc:Choice>
  </mc:AlternateContent>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1BBBC-3266-4194-B8EF-D3E5EB34C7AE}">
  <sheetPr codeName="Blad28">
    <tabColor theme="8" tint="0.59999389629810485"/>
  </sheetPr>
  <dimension ref="B2:G41"/>
  <sheetViews>
    <sheetView showGridLines="0" zoomScale="80" zoomScaleNormal="80" workbookViewId="0">
      <selection activeCell="E34" activeCellId="7" sqref="E10:E12 E15:E18 E19 E23 E24 E25 E29:E30 E34:E36"/>
    </sheetView>
  </sheetViews>
  <sheetFormatPr defaultRowHeight="14.4" x14ac:dyDescent="0.3"/>
  <cols>
    <col min="1" max="1" width="2.77734375" customWidth="1"/>
    <col min="2" max="2" width="30.5546875" customWidth="1"/>
    <col min="3" max="5" width="16.77734375" customWidth="1"/>
    <col min="6" max="6" width="2.6640625" customWidth="1"/>
  </cols>
  <sheetData>
    <row r="2" spans="2:6" x14ac:dyDescent="0.3">
      <c r="B2" s="456" t="s">
        <v>220</v>
      </c>
      <c r="C2" s="456"/>
      <c r="D2" s="456"/>
      <c r="E2" s="456"/>
    </row>
    <row r="3" spans="2:6" x14ac:dyDescent="0.3">
      <c r="B3" s="456"/>
      <c r="C3" s="456"/>
      <c r="D3" s="456"/>
      <c r="E3" s="456"/>
    </row>
    <row r="5" spans="2:6" x14ac:dyDescent="0.3">
      <c r="B5" s="277">
        <v>1</v>
      </c>
    </row>
    <row r="6" spans="2:6" x14ac:dyDescent="0.3">
      <c r="B6" s="240"/>
    </row>
    <row r="7" spans="2:6" x14ac:dyDescent="0.3">
      <c r="B7" s="240"/>
    </row>
    <row r="9" spans="2:6" x14ac:dyDescent="0.3">
      <c r="B9" s="193"/>
      <c r="C9" s="193" t="str">
        <f>'Luzerne huidig'!C8</f>
        <v>Gem. opbrengst</v>
      </c>
      <c r="D9" s="228" t="s">
        <v>133</v>
      </c>
      <c r="E9" s="303" t="s">
        <v>102</v>
      </c>
    </row>
    <row r="10" spans="2:6" x14ac:dyDescent="0.3">
      <c r="B10" s="11" t="str">
        <f>'Luzerne huidig'!B9</f>
        <v>Opbrengst in KG DS</v>
      </c>
      <c r="C10" s="44">
        <f>'Luzerne huidig'!C9</f>
        <v>10500</v>
      </c>
      <c r="D10" s="68">
        <f>IF('Luzerne huidig'!D9=0,'Luzerne huidig'!C9,'Luzerne huidig'!D9)</f>
        <v>10500</v>
      </c>
      <c r="E10" s="287"/>
    </row>
    <row r="11" spans="2:6" x14ac:dyDescent="0.3">
      <c r="B11" s="11" t="str">
        <f>'Luzerne huidig'!B10</f>
        <v>VEM per KG DS</v>
      </c>
      <c r="C11" s="11">
        <f>'Luzerne huidig'!C10</f>
        <v>880</v>
      </c>
      <c r="D11" s="23">
        <f>IF('Luzerne huidig'!D10=0,'Luzerne huidig'!C10,'Luzerne huidig'!D10)</f>
        <v>880</v>
      </c>
      <c r="E11" s="287"/>
    </row>
    <row r="12" spans="2:6" x14ac:dyDescent="0.3">
      <c r="B12" s="11" t="str">
        <f>'Luzerne huidig'!B11</f>
        <v>DVE per KG DS</v>
      </c>
      <c r="C12" s="11">
        <f>'Luzerne huidig'!C11</f>
        <v>48</v>
      </c>
      <c r="D12" s="23">
        <f>IF('Luzerne huidig'!D11=0,'Luzerne huidig'!C11,'Luzerne huidig'!D11)</f>
        <v>48</v>
      </c>
      <c r="E12" s="287"/>
    </row>
    <row r="13" spans="2:6" x14ac:dyDescent="0.3">
      <c r="B13" s="200"/>
      <c r="C13" s="200"/>
      <c r="D13" s="200"/>
      <c r="E13" s="300"/>
    </row>
    <row r="14" spans="2:6" x14ac:dyDescent="0.3">
      <c r="B14" s="193" t="str">
        <f>'Luzerne huidig'!B13</f>
        <v>Inzaaien</v>
      </c>
      <c r="C14" s="193" t="str">
        <f>'Luzerne huidig'!C13</f>
        <v>Gem. kosten</v>
      </c>
      <c r="D14" s="228" t="s">
        <v>133</v>
      </c>
      <c r="E14" s="303" t="s">
        <v>102</v>
      </c>
    </row>
    <row r="15" spans="2:6" x14ac:dyDescent="0.3">
      <c r="B15" s="11" t="str">
        <f>'Luzerne huidig'!B14</f>
        <v>Spuiten glyfosaat</v>
      </c>
      <c r="C15" s="48">
        <f>'Luzerne huidig'!C14</f>
        <v>80</v>
      </c>
      <c r="D15" s="103">
        <f>IF('Luzerne huidig'!D14=0,'Luzerne huidig'!C14,'Luzerne huidig'!D14)</f>
        <v>80</v>
      </c>
      <c r="E15" s="285"/>
    </row>
    <row r="16" spans="2:6" x14ac:dyDescent="0.3">
      <c r="B16" s="11" t="str">
        <f>'Luzerne huidig'!B15</f>
        <v>Frezen + ploegen</v>
      </c>
      <c r="C16" s="48">
        <f>'Luzerne huidig'!C15</f>
        <v>236</v>
      </c>
      <c r="D16" s="103">
        <f>IF('Luzerne huidig'!D15=0,'Luzerne huidig'!C15,'Luzerne huidig'!D15)</f>
        <v>236</v>
      </c>
      <c r="E16" s="285"/>
    </row>
    <row r="17" spans="2:7" x14ac:dyDescent="0.3">
      <c r="B17" s="11" t="str">
        <f>'Luzerne huidig'!B16</f>
        <v>Zaaien</v>
      </c>
      <c r="C17" s="48">
        <f>'Luzerne huidig'!C16</f>
        <v>104</v>
      </c>
      <c r="D17" s="103">
        <f>IF('Luzerne huidig'!D16=0,'Luzerne huidig'!C16,'Luzerne huidig'!D16)</f>
        <v>104</v>
      </c>
      <c r="E17" s="285"/>
    </row>
    <row r="18" spans="2:7" x14ac:dyDescent="0.3">
      <c r="B18" s="11" t="str">
        <f>'Luzerne huidig'!B17</f>
        <v>Zaaizaad</v>
      </c>
      <c r="C18" s="48">
        <f>'Luzerne huidig'!C17</f>
        <v>476</v>
      </c>
      <c r="D18" s="103">
        <f>IF('Luzerne huidig'!D17=0,'Luzerne huidig'!C17,'Luzerne huidig'!D17)</f>
        <v>476</v>
      </c>
      <c r="E18" s="285"/>
    </row>
    <row r="19" spans="2:7" x14ac:dyDescent="0.3">
      <c r="B19" s="11" t="str">
        <f>'Luzerne huidig'!B18</f>
        <v>Hoeveel jaar</v>
      </c>
      <c r="C19" s="115">
        <f>'Luzerne huidig'!C18</f>
        <v>4</v>
      </c>
      <c r="D19" s="116">
        <f>IF('Luzerne huidig'!D18=0,'Luzerne huidig'!C18,'Luzerne huidig'!D18)</f>
        <v>4</v>
      </c>
      <c r="E19" s="297"/>
    </row>
    <row r="20" spans="2:7" x14ac:dyDescent="0.3">
      <c r="B20" s="224" t="str">
        <f>'Luzerne huidig'!B19</f>
        <v>Kosten per jaar</v>
      </c>
      <c r="C20" s="306">
        <f>'Luzerne huidig'!C19</f>
        <v>224</v>
      </c>
      <c r="D20" s="105">
        <f>IF('Luzerne huidig'!D19=0,'Luzerne huidig'!C19,'Luzerne huidig'!D19)</f>
        <v>224</v>
      </c>
      <c r="E20" s="308">
        <f>(IF(E15=0,C15,E15)+IF(E16=0,C16,E16)+IF(E17=0,C17,E17)+IF(E18=0,C18,E18))/IF(E19=0,C19,E19)</f>
        <v>224</v>
      </c>
    </row>
    <row r="21" spans="2:7" x14ac:dyDescent="0.3">
      <c r="B21" s="200"/>
      <c r="C21" s="200"/>
      <c r="D21" s="302"/>
      <c r="E21" s="300"/>
    </row>
    <row r="22" spans="2:7" x14ac:dyDescent="0.3">
      <c r="B22" s="193" t="str">
        <f>'Luzerne huidig'!B21</f>
        <v>Bemesten</v>
      </c>
      <c r="C22" s="193"/>
      <c r="D22" s="305"/>
      <c r="E22" s="204"/>
    </row>
    <row r="23" spans="2:7" x14ac:dyDescent="0.3">
      <c r="B23" s="11" t="str">
        <f>'Luzerne huidig'!B22</f>
        <v>Dierlijke mest uitrijden</v>
      </c>
      <c r="C23" s="48">
        <f>'Luzerne huidig'!C22</f>
        <v>150</v>
      </c>
      <c r="D23" s="103">
        <f>IF('Luzerne huidig'!D22=0,'Luzerne huidig'!C22,'Luzerne huidig'!D22)</f>
        <v>150</v>
      </c>
      <c r="E23" s="285"/>
    </row>
    <row r="24" spans="2:7" x14ac:dyDescent="0.3">
      <c r="B24" s="11" t="str">
        <f>'Luzerne huidig'!B23</f>
        <v>Kunstmest aanvoer (of dergelijken)</v>
      </c>
      <c r="C24" s="48">
        <f>'Luzerne huidig'!C23</f>
        <v>180</v>
      </c>
      <c r="D24" s="103">
        <f>IF('Luzerne huidig'!D23=0,'Luzerne huidig'!C23,'Luzerne huidig'!D23)</f>
        <v>180</v>
      </c>
      <c r="E24" s="285"/>
    </row>
    <row r="25" spans="2:7" x14ac:dyDescent="0.3">
      <c r="B25" s="11" t="str">
        <f>'Luzerne huidig'!B24</f>
        <v>Kunstmest strooien</v>
      </c>
      <c r="C25" s="48">
        <f>'Luzerne huidig'!C24</f>
        <v>57</v>
      </c>
      <c r="D25" s="103">
        <f>IF('Luzerne huidig'!D24=0,'Luzerne huidig'!C24,'Luzerne huidig'!D24)</f>
        <v>57</v>
      </c>
      <c r="E25" s="285"/>
    </row>
    <row r="26" spans="2:7" x14ac:dyDescent="0.3">
      <c r="B26" s="224" t="str">
        <f>'Luzerne huidig'!B25</f>
        <v>Kosten per jaar</v>
      </c>
      <c r="C26" s="306">
        <f>'Luzerne huidig'!C25</f>
        <v>387</v>
      </c>
      <c r="D26" s="105">
        <f>IF('Luzerne huidig'!D25=0,'Luzerne huidig'!C25,'Luzerne huidig'!D25)</f>
        <v>387</v>
      </c>
      <c r="E26" s="308">
        <f>IF(E25=0,C25,E25)+IF(E22=0,C22,E22)+IF(E23=0,C23,E23)+IF(E24=0,C24,E24)</f>
        <v>387</v>
      </c>
    </row>
    <row r="27" spans="2:7" x14ac:dyDescent="0.3">
      <c r="B27" s="200"/>
      <c r="C27" s="200"/>
      <c r="D27" s="302"/>
      <c r="E27" s="300"/>
    </row>
    <row r="28" spans="2:7" x14ac:dyDescent="0.3">
      <c r="B28" s="193" t="str">
        <f>'Luzerne huidig'!B27</f>
        <v>Gewasbescherming</v>
      </c>
      <c r="C28" s="193"/>
      <c r="D28" s="305"/>
      <c r="E28" s="204"/>
    </row>
    <row r="29" spans="2:7" x14ac:dyDescent="0.3">
      <c r="B29" s="11" t="str">
        <f>'Luzerne huidig'!B28</f>
        <v>1x spuiten (incl GWB)</v>
      </c>
      <c r="C29" s="48">
        <f>'Luzerne huidig'!C28</f>
        <v>103</v>
      </c>
      <c r="D29" s="103">
        <f>IF('Luzerne huidig'!D28=0,'Luzerne huidig'!C28,'Luzerne huidig'!D28)</f>
        <v>103</v>
      </c>
      <c r="E29" s="285"/>
    </row>
    <row r="30" spans="2:7" x14ac:dyDescent="0.3">
      <c r="B30" s="11" t="str">
        <f>'Luzerne huidig'!B29</f>
        <v>Aantal keer spuiten per 10 jaar</v>
      </c>
      <c r="C30" s="115">
        <f>'Luzerne huidig'!C29</f>
        <v>2</v>
      </c>
      <c r="D30" s="116">
        <f>IF('Luzerne huidig'!D29=0,'Luzerne huidig'!C29,'Luzerne huidig'!D29)</f>
        <v>2</v>
      </c>
      <c r="E30" s="297"/>
    </row>
    <row r="31" spans="2:7" x14ac:dyDescent="0.3">
      <c r="B31" s="224" t="str">
        <f>'Luzerne huidig'!B30</f>
        <v>Kosten per jaar</v>
      </c>
      <c r="C31" s="306">
        <f>'Luzerne huidig'!C30</f>
        <v>20.6</v>
      </c>
      <c r="D31" s="105">
        <f>IF('Luzerne huidig'!D30=0,'Luzerne huidig'!C30,'Luzerne huidig'!D30)</f>
        <v>20.6</v>
      </c>
      <c r="E31" s="308">
        <f>IF(E29=0,C29,E29)*IF(E30=0,C30,E30)/10</f>
        <v>20.6</v>
      </c>
    </row>
    <row r="32" spans="2:7" x14ac:dyDescent="0.3">
      <c r="B32" s="200"/>
      <c r="C32" s="200"/>
      <c r="D32" s="302"/>
      <c r="E32" s="300"/>
      <c r="G32" t="s">
        <v>55</v>
      </c>
    </row>
    <row r="33" spans="2:5" x14ac:dyDescent="0.3">
      <c r="B33" s="193" t="str">
        <f>'Luzerne huidig'!B32</f>
        <v>Oogsten</v>
      </c>
      <c r="C33" s="193"/>
      <c r="D33" s="305"/>
      <c r="E33" s="204"/>
    </row>
    <row r="34" spans="2:5" x14ac:dyDescent="0.3">
      <c r="B34" s="11" t="str">
        <f>'Luzerne huidig'!B33</f>
        <v>Maaisnedes per jaar</v>
      </c>
      <c r="C34" s="115">
        <f>'Luzerne huidig'!C33</f>
        <v>4</v>
      </c>
      <c r="D34" s="116">
        <f>IF('Luzerne huidig'!D33=0,'Luzerne huidig'!C33,'Luzerne huidig'!D33)</f>
        <v>4</v>
      </c>
      <c r="E34" s="297"/>
    </row>
    <row r="35" spans="2:5" x14ac:dyDescent="0.3">
      <c r="B35" s="11" t="str">
        <f>'Luzerne huidig'!B34</f>
        <v>Maaien, schudden, Harken, oprapen</v>
      </c>
      <c r="C35" s="48">
        <f>'Luzerne huidig'!C34</f>
        <v>158</v>
      </c>
      <c r="D35" s="103">
        <f>IF('Luzerne huidig'!D34=0,'Luzerne huidig'!C34,'Luzerne huidig'!D34)</f>
        <v>158</v>
      </c>
      <c r="E35" s="285"/>
    </row>
    <row r="36" spans="2:5" x14ac:dyDescent="0.3">
      <c r="B36" s="11" t="str">
        <f>'Luzerne huidig'!B35</f>
        <v>Toevoegmiddelen</v>
      </c>
      <c r="C36" s="48">
        <f>'Luzerne huidig'!C35</f>
        <v>91</v>
      </c>
      <c r="D36" s="103">
        <f>IF('Luzerne huidig'!D35=0,'Luzerne huidig'!C35,'Luzerne huidig'!D35)</f>
        <v>91</v>
      </c>
      <c r="E36" s="285"/>
    </row>
    <row r="37" spans="2:5" x14ac:dyDescent="0.3">
      <c r="B37" s="224" t="str">
        <f>'Luzerne huidig'!B36</f>
        <v>Kosten per jaar</v>
      </c>
      <c r="C37" s="306">
        <f>'Luzerne huidig'!C36</f>
        <v>723</v>
      </c>
      <c r="D37" s="105">
        <f>IF('Luzerne huidig'!D36=0,'Luzerne huidig'!C36,'Luzerne huidig'!D36)</f>
        <v>723</v>
      </c>
      <c r="E37" s="308">
        <f>(IF(E34=0,C34,E34)*IF(E35=0,C35,E35))+IF(E36=0,C36,E36)</f>
        <v>723</v>
      </c>
    </row>
    <row r="38" spans="2:5" x14ac:dyDescent="0.3">
      <c r="B38" s="200"/>
      <c r="C38" s="200"/>
      <c r="D38" s="302"/>
      <c r="E38" s="300"/>
    </row>
    <row r="39" spans="2:5" x14ac:dyDescent="0.3">
      <c r="B39" s="11" t="str">
        <f>'Luzerne huidig'!B38</f>
        <v>Kosten per Ha</v>
      </c>
      <c r="C39" s="48">
        <f>'Luzerne huidig'!C38</f>
        <v>1354.6</v>
      </c>
      <c r="D39" s="103">
        <f>IF('Luzerne huidig'!D38=0,'Luzerne huidig'!C38,'Luzerne huidig'!D38)</f>
        <v>1354.6</v>
      </c>
      <c r="E39" s="48">
        <f>E37+E31+E26+E20</f>
        <v>1354.6</v>
      </c>
    </row>
    <row r="40" spans="2:5" x14ac:dyDescent="0.3">
      <c r="B40" s="11" t="str">
        <f>'Luzerne huidig'!B39</f>
        <v>Kosten per KG DS</v>
      </c>
      <c r="C40" s="47">
        <f>'Luzerne huidig'!C39</f>
        <v>0.1290095238095238</v>
      </c>
      <c r="D40" s="102">
        <f>IF('Luzerne huidig'!D39=0,'Luzerne huidig'!C39,'Luzerne huidig'!D39)</f>
        <v>0.1290095238095238</v>
      </c>
      <c r="E40" s="47">
        <f>IF(E10=0,E39/C10,E39/E10)</f>
        <v>0.1290095238095238</v>
      </c>
    </row>
    <row r="41" spans="2:5" x14ac:dyDescent="0.3">
      <c r="B41" s="11" t="str">
        <f>'Luzerne huidig'!B40</f>
        <v>Kosten per kVEM</v>
      </c>
      <c r="C41" s="47">
        <f>'Luzerne huidig'!C40</f>
        <v>0.14660173160173159</v>
      </c>
      <c r="D41" s="102">
        <f>IF('Luzerne huidig'!D40=0,'Luzerne huidig'!C40,'Luzerne huidig'!D40)</f>
        <v>0.14660173160173159</v>
      </c>
      <c r="E41" s="47">
        <f>IF(E10=0,IF(E11=0,E39/(C10*C11),E39/C10*E11),IF(E11=0,E39/(E10*C11),E39/E10*E11))*1000</f>
        <v>0.14660173160173159</v>
      </c>
    </row>
  </sheetData>
  <sheetProtection sheet="1" objects="1" scenarios="1" selectLockedCells="1"/>
  <mergeCells count="1">
    <mergeCell ref="B2:E3"/>
  </mergeCells>
  <conditionalFormatting sqref="E10:E12 E15:E41">
    <cfRule type="expression" dxfId="39" priority="109">
      <formula>$B$5&lt;3</formula>
    </cfRule>
  </conditionalFormatting>
  <conditionalFormatting sqref="D10:D12 D15:D41">
    <cfRule type="expression" dxfId="38" priority="111">
      <formula>$B$5=2</formula>
    </cfRule>
  </conditionalFormatting>
  <conditionalFormatting sqref="D37 D33 D31 D28 D26 D22 D20 D14 D9">
    <cfRule type="expression" dxfId="37" priority="2">
      <formula>$B$5=2</formula>
    </cfRule>
  </conditionalFormatting>
  <conditionalFormatting sqref="E9 E14">
    <cfRule type="expression" dxfId="36" priority="1">
      <formula>$B$5=3</formula>
    </cfRule>
  </conditionalFormatting>
  <dataValidations count="1">
    <dataValidation type="decimal" operator="greaterThanOrEqual" allowBlank="1" showInputMessage="1" showErrorMessage="1" errorTitle="Fout" error="Typ een getal groter of gelijk aan 0." sqref="E10:E12 E15:E18 E19 E23 E24 E25 E29:E30 E34:E36" xr:uid="{69F040EC-9E33-4021-82B7-9BA279DFF781}">
      <formula1>0</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Option Button 1">
              <controlPr defaultSize="0" autoFill="0" autoLine="0" autoPict="0">
                <anchor moveWithCells="1">
                  <from>
                    <xdr:col>1</xdr:col>
                    <xdr:colOff>0</xdr:colOff>
                    <xdr:row>4</xdr:row>
                    <xdr:rowOff>0</xdr:rowOff>
                  </from>
                  <to>
                    <xdr:col>2</xdr:col>
                    <xdr:colOff>0</xdr:colOff>
                    <xdr:row>5</xdr:row>
                    <xdr:rowOff>0</xdr:rowOff>
                  </to>
                </anchor>
              </controlPr>
            </control>
          </mc:Choice>
        </mc:AlternateContent>
        <mc:AlternateContent xmlns:mc="http://schemas.openxmlformats.org/markup-compatibility/2006">
          <mc:Choice Requires="x14">
            <control shapeId="32770" r:id="rId5" name="Option Button 2">
              <controlPr defaultSize="0" autoFill="0" autoLine="0" autoPict="0">
                <anchor moveWithCells="1">
                  <from>
                    <xdr:col>1</xdr:col>
                    <xdr:colOff>0</xdr:colOff>
                    <xdr:row>5</xdr:row>
                    <xdr:rowOff>0</xdr:rowOff>
                  </from>
                  <to>
                    <xdr:col>2</xdr:col>
                    <xdr:colOff>0</xdr:colOff>
                    <xdr:row>6</xdr:row>
                    <xdr:rowOff>0</xdr:rowOff>
                  </to>
                </anchor>
              </controlPr>
            </control>
          </mc:Choice>
        </mc:AlternateContent>
        <mc:AlternateContent xmlns:mc="http://schemas.openxmlformats.org/markup-compatibility/2006">
          <mc:Choice Requires="x14">
            <control shapeId="32771" r:id="rId6" name="Option Button 3">
              <controlPr defaultSize="0" autoFill="0" autoLine="0" autoPict="0">
                <anchor moveWithCells="1">
                  <from>
                    <xdr:col>1</xdr:col>
                    <xdr:colOff>0</xdr:colOff>
                    <xdr:row>6</xdr:row>
                    <xdr:rowOff>0</xdr:rowOff>
                  </from>
                  <to>
                    <xdr:col>2</xdr:col>
                    <xdr:colOff>0</xdr:colOff>
                    <xdr:row>7</xdr:row>
                    <xdr:rowOff>0</xdr:rowOff>
                  </to>
                </anchor>
              </controlPr>
            </control>
          </mc:Choice>
        </mc:AlternateContent>
      </controls>
    </mc:Choice>
  </mc:AlternateContent>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75670-F124-4BED-BDCE-5EE07B56513D}">
  <sheetPr codeName="Blad25">
    <tabColor theme="8" tint="0.59999389629810485"/>
  </sheetPr>
  <dimension ref="B2:G41"/>
  <sheetViews>
    <sheetView showGridLines="0" zoomScale="80" zoomScaleNormal="80" workbookViewId="0">
      <selection activeCell="E34" activeCellId="6" sqref="E10:E12 E15:E18 E19 E23:E25 E30 E29 E34:E36"/>
    </sheetView>
  </sheetViews>
  <sheetFormatPr defaultRowHeight="14.4" x14ac:dyDescent="0.3"/>
  <cols>
    <col min="1" max="1" width="2.77734375" customWidth="1"/>
    <col min="2" max="2" width="30.5546875" customWidth="1"/>
    <col min="3" max="5" width="16.77734375" customWidth="1"/>
    <col min="6" max="6" width="2.6640625" customWidth="1"/>
  </cols>
  <sheetData>
    <row r="2" spans="2:6" x14ac:dyDescent="0.3">
      <c r="B2" s="456" t="s">
        <v>219</v>
      </c>
      <c r="C2" s="456"/>
      <c r="D2" s="456"/>
      <c r="E2" s="456"/>
    </row>
    <row r="3" spans="2:6" x14ac:dyDescent="0.3">
      <c r="B3" s="456"/>
      <c r="C3" s="456"/>
      <c r="D3" s="456"/>
      <c r="E3" s="456"/>
    </row>
    <row r="5" spans="2:6" x14ac:dyDescent="0.3">
      <c r="B5" s="277">
        <v>1</v>
      </c>
    </row>
    <row r="6" spans="2:6" x14ac:dyDescent="0.3">
      <c r="B6" s="240"/>
    </row>
    <row r="7" spans="2:6" x14ac:dyDescent="0.3">
      <c r="B7" s="240"/>
    </row>
    <row r="9" spans="2:6" x14ac:dyDescent="0.3">
      <c r="B9" s="193"/>
      <c r="C9" s="193" t="str">
        <f>'Natuurgras huidig'!C8</f>
        <v>Gem. opbrengst</v>
      </c>
      <c r="D9" s="228" t="s">
        <v>133</v>
      </c>
      <c r="E9" s="303" t="s">
        <v>102</v>
      </c>
    </row>
    <row r="10" spans="2:6" x14ac:dyDescent="0.3">
      <c r="B10" s="11" t="str">
        <f>'Natuurgras huidig'!B9</f>
        <v>Opbrengst in KG DS</v>
      </c>
      <c r="C10" s="44">
        <f>'Natuurgras huidig'!C9</f>
        <v>6000</v>
      </c>
      <c r="D10" s="68">
        <f>IF('Natuurgras huidig'!D9=0,'Natuurgras huidig'!C9,'Natuurgras huidig'!D9)</f>
        <v>6000</v>
      </c>
      <c r="E10" s="287"/>
    </row>
    <row r="11" spans="2:6" x14ac:dyDescent="0.3">
      <c r="B11" s="11" t="str">
        <f>'Natuurgras huidig'!B10</f>
        <v>VEM per KG DS</v>
      </c>
      <c r="C11" s="11">
        <f>'Natuurgras huidig'!C10</f>
        <v>720</v>
      </c>
      <c r="D11" s="23">
        <f>IF('Natuurgras huidig'!D10=0,'Natuurgras huidig'!C10,'Natuurgras huidig'!D10)</f>
        <v>720</v>
      </c>
      <c r="E11" s="287"/>
    </row>
    <row r="12" spans="2:6" x14ac:dyDescent="0.3">
      <c r="B12" s="11" t="str">
        <f>'Natuurgras huidig'!B11</f>
        <v>DVE per KG DS</v>
      </c>
      <c r="C12" s="11">
        <f>'Natuurgras huidig'!C11</f>
        <v>50</v>
      </c>
      <c r="D12" s="23">
        <f>IF('Natuurgras huidig'!D11=0,'Natuurgras huidig'!C11,'Natuurgras huidig'!D11)</f>
        <v>50</v>
      </c>
      <c r="E12" s="287"/>
    </row>
    <row r="13" spans="2:6" x14ac:dyDescent="0.3">
      <c r="B13" s="200"/>
      <c r="C13" s="200"/>
      <c r="D13" s="200"/>
      <c r="E13" s="300"/>
    </row>
    <row r="14" spans="2:6" x14ac:dyDescent="0.3">
      <c r="B14" s="193" t="str">
        <f>'Natuurgras huidig'!B13</f>
        <v>Inzaaien</v>
      </c>
      <c r="C14" s="193" t="str">
        <f>'Natuurgras huidig'!C13</f>
        <v>Gem. kosten</v>
      </c>
      <c r="D14" s="228" t="s">
        <v>133</v>
      </c>
      <c r="E14" s="303" t="s">
        <v>102</v>
      </c>
    </row>
    <row r="15" spans="2:6" x14ac:dyDescent="0.3">
      <c r="B15" s="11" t="str">
        <f>'Natuurgras huidig'!B14</f>
        <v>Spuiten glyfosaat</v>
      </c>
      <c r="C15" s="48">
        <f>'Natuurgras huidig'!C14</f>
        <v>0</v>
      </c>
      <c r="D15" s="105">
        <f>IF('Natuurgras huidig'!D14=0,'Natuurgras huidig'!C14,'Natuurgras huidig'!D14)</f>
        <v>0</v>
      </c>
      <c r="E15" s="285"/>
    </row>
    <row r="16" spans="2:6" x14ac:dyDescent="0.3">
      <c r="B16" s="11" t="str">
        <f>'Natuurgras huidig'!B15</f>
        <v>Frezen + ploegen</v>
      </c>
      <c r="C16" s="48">
        <f>'Natuurgras huidig'!C15</f>
        <v>0</v>
      </c>
      <c r="D16" s="105">
        <f>IF('Natuurgras huidig'!D15=0,'Natuurgras huidig'!C15,'Natuurgras huidig'!D15)</f>
        <v>0</v>
      </c>
      <c r="E16" s="285"/>
    </row>
    <row r="17" spans="2:5" x14ac:dyDescent="0.3">
      <c r="B17" s="11" t="str">
        <f>'Natuurgras huidig'!B16</f>
        <v>Zaaien</v>
      </c>
      <c r="C17" s="48">
        <f>'Natuurgras huidig'!C16</f>
        <v>0</v>
      </c>
      <c r="D17" s="105">
        <f>IF('Natuurgras huidig'!D16=0,'Natuurgras huidig'!C16,'Natuurgras huidig'!D16)</f>
        <v>0</v>
      </c>
      <c r="E17" s="285"/>
    </row>
    <row r="18" spans="2:5" x14ac:dyDescent="0.3">
      <c r="B18" s="11" t="str">
        <f>'Natuurgras huidig'!B17</f>
        <v>Zaaizaad</v>
      </c>
      <c r="C18" s="48">
        <f>'Natuurgras huidig'!C17</f>
        <v>0</v>
      </c>
      <c r="D18" s="105">
        <f>IF('Natuurgras huidig'!D17=0,'Natuurgras huidig'!C17,'Natuurgras huidig'!D17)</f>
        <v>0</v>
      </c>
      <c r="E18" s="285"/>
    </row>
    <row r="19" spans="2:5" x14ac:dyDescent="0.3">
      <c r="B19" s="11" t="str">
        <f>'Natuurgras huidig'!B18</f>
        <v>Hoeveel jaar</v>
      </c>
      <c r="C19" s="115">
        <f>'Natuurgras huidig'!C18</f>
        <v>0</v>
      </c>
      <c r="D19" s="117">
        <f>IF('Natuurgras huidig'!D18=0,'Natuurgras huidig'!C18,'Natuurgras huidig'!D18)</f>
        <v>0</v>
      </c>
      <c r="E19" s="297"/>
    </row>
    <row r="20" spans="2:5" x14ac:dyDescent="0.3">
      <c r="B20" s="224" t="str">
        <f>'Natuurgras huidig'!B19</f>
        <v>Kosten per jaar</v>
      </c>
      <c r="C20" s="306">
        <f>'Natuurgras huidig'!C19</f>
        <v>0</v>
      </c>
      <c r="D20" s="105">
        <f>IF('Natuurgras huidig'!D19=0,'Natuurgras huidig'!C19,'Natuurgras huidig'!D19)</f>
        <v>0</v>
      </c>
      <c r="E20" s="308">
        <f>IF(E19=0,0,(IF(E15=0,C15,E15)+IF(E16=0,C16,E16)+IF(E17=0,C17,E17)+IF(E18=0,C18,E18))/IF(E19=0,C19,E19))</f>
        <v>0</v>
      </c>
    </row>
    <row r="21" spans="2:5" x14ac:dyDescent="0.3">
      <c r="B21" s="200"/>
      <c r="C21" s="200"/>
      <c r="D21" s="302"/>
      <c r="E21" s="300"/>
    </row>
    <row r="22" spans="2:5" x14ac:dyDescent="0.3">
      <c r="B22" s="193" t="str">
        <f>'Natuurgras huidig'!B21</f>
        <v>Bemesten</v>
      </c>
      <c r="C22" s="193"/>
      <c r="D22" s="305"/>
      <c r="E22" s="204"/>
    </row>
    <row r="23" spans="2:5" x14ac:dyDescent="0.3">
      <c r="B23" s="11" t="str">
        <f>'Natuurgras huidig'!B22</f>
        <v>Dierlijke mest uitrijden</v>
      </c>
      <c r="C23" s="48">
        <f>'Natuurgras huidig'!C22</f>
        <v>125</v>
      </c>
      <c r="D23" s="105">
        <f>IF('Natuurgras huidig'!D22=0,'Natuurgras huidig'!C22,'Natuurgras huidig'!D22)</f>
        <v>125</v>
      </c>
      <c r="E23" s="285"/>
    </row>
    <row r="24" spans="2:5" x14ac:dyDescent="0.3">
      <c r="B24" s="11" t="str">
        <f>'Natuurgras huidig'!B23</f>
        <v>Kunstmest aanvoer (of dergelijken)</v>
      </c>
      <c r="C24" s="48">
        <f>'Natuurgras huidig'!C23</f>
        <v>0</v>
      </c>
      <c r="D24" s="105">
        <f>IF('Natuurgras huidig'!D23=0,'Natuurgras huidig'!C23,'Natuurgras huidig'!D23)</f>
        <v>0</v>
      </c>
      <c r="E24" s="285"/>
    </row>
    <row r="25" spans="2:5" x14ac:dyDescent="0.3">
      <c r="B25" s="11" t="str">
        <f>'Natuurgras huidig'!B24</f>
        <v>Kunstmest strooien</v>
      </c>
      <c r="C25" s="48">
        <f>'Natuurgras huidig'!C24</f>
        <v>0</v>
      </c>
      <c r="D25" s="105">
        <f>IF('Natuurgras huidig'!D24=0,'Natuurgras huidig'!C24,'Natuurgras huidig'!D24)</f>
        <v>0</v>
      </c>
      <c r="E25" s="285"/>
    </row>
    <row r="26" spans="2:5" x14ac:dyDescent="0.3">
      <c r="B26" s="224" t="str">
        <f>'Natuurgras huidig'!B25</f>
        <v>Kosten per jaar</v>
      </c>
      <c r="C26" s="306">
        <f>'Natuurgras huidig'!C25</f>
        <v>125</v>
      </c>
      <c r="D26" s="105">
        <f>IF('Natuurgras huidig'!D25=0,'Natuurgras huidig'!C25,'Natuurgras huidig'!D25)</f>
        <v>125</v>
      </c>
      <c r="E26" s="308">
        <f>IF(E25=0,C25,E25)+IF(E22=0,C22,E22)+IF(E23=0,C23,E23)+IF(E24=0,C24,E24)</f>
        <v>125</v>
      </c>
    </row>
    <row r="27" spans="2:5" x14ac:dyDescent="0.3">
      <c r="B27" s="200"/>
      <c r="C27" s="200"/>
      <c r="D27" s="302"/>
      <c r="E27" s="300"/>
    </row>
    <row r="28" spans="2:5" x14ac:dyDescent="0.3">
      <c r="B28" s="193" t="str">
        <f>'Natuurgras huidig'!B27</f>
        <v>Gewasbescherming</v>
      </c>
      <c r="C28" s="193"/>
      <c r="D28" s="305"/>
      <c r="E28" s="204"/>
    </row>
    <row r="29" spans="2:5" x14ac:dyDescent="0.3">
      <c r="B29" s="11" t="str">
        <f>'Natuurgras huidig'!B28</f>
        <v>1x spuiten (incl GWB)</v>
      </c>
      <c r="C29" s="48">
        <f>'Natuurgras huidig'!C28</f>
        <v>0</v>
      </c>
      <c r="D29" s="105">
        <f>IF('Natuurgras huidig'!D28=0,'Natuurgras huidig'!C28,'Natuurgras huidig'!D28)</f>
        <v>0</v>
      </c>
      <c r="E29" s="285"/>
    </row>
    <row r="30" spans="2:5" x14ac:dyDescent="0.3">
      <c r="B30" s="11" t="str">
        <f>'Natuurgras huidig'!B29</f>
        <v>Aantal keer spuiten per 10 jaar</v>
      </c>
      <c r="C30" s="115">
        <f>'Natuurgras huidig'!C29</f>
        <v>0</v>
      </c>
      <c r="D30" s="117">
        <f>IF('Natuurgras huidig'!D29=0,'Natuurgras huidig'!C29,'Natuurgras huidig'!D29)</f>
        <v>0</v>
      </c>
      <c r="E30" s="297"/>
    </row>
    <row r="31" spans="2:5" x14ac:dyDescent="0.3">
      <c r="B31" s="224" t="str">
        <f>'Natuurgras huidig'!B30</f>
        <v>Kosten per jaar</v>
      </c>
      <c r="C31" s="306">
        <f>'Natuurgras huidig'!C30</f>
        <v>0</v>
      </c>
      <c r="D31" s="105">
        <f>IF('Natuurgras huidig'!D30=0,'Natuurgras huidig'!C30,'Natuurgras huidig'!D30)</f>
        <v>0</v>
      </c>
      <c r="E31" s="308">
        <f>IF(E29=0,C29,E29)*IF(E30=0,C30,E30)/10</f>
        <v>0</v>
      </c>
    </row>
    <row r="32" spans="2:5" x14ac:dyDescent="0.3">
      <c r="B32" s="200"/>
      <c r="C32" s="200"/>
      <c r="D32" s="302"/>
      <c r="E32" s="300"/>
    </row>
    <row r="33" spans="2:7" x14ac:dyDescent="0.3">
      <c r="B33" s="193" t="str">
        <f>'Natuurgras huidig'!B32</f>
        <v>Oogsten</v>
      </c>
      <c r="C33" s="193"/>
      <c r="D33" s="305"/>
      <c r="E33" s="204"/>
    </row>
    <row r="34" spans="2:7" x14ac:dyDescent="0.3">
      <c r="B34" s="11" t="str">
        <f>'Natuurgras huidig'!B33</f>
        <v>Maaisnedes per jaar</v>
      </c>
      <c r="C34" s="115">
        <f>'Natuurgras huidig'!C33</f>
        <v>3</v>
      </c>
      <c r="D34" s="117">
        <f>IF('Natuurgras huidig'!D33=0,'Natuurgras huidig'!C33,'Natuurgras huidig'!D33)</f>
        <v>3</v>
      </c>
      <c r="E34" s="297"/>
      <c r="G34" t="s">
        <v>55</v>
      </c>
    </row>
    <row r="35" spans="2:7" x14ac:dyDescent="0.3">
      <c r="B35" s="11" t="str">
        <f>'Natuurgras huidig'!B34</f>
        <v>Maaien, schudden, Harken, oprapen</v>
      </c>
      <c r="C35" s="48">
        <f>'Natuurgras huidig'!C34</f>
        <v>146</v>
      </c>
      <c r="D35" s="105">
        <f>IF('Natuurgras huidig'!D34=0,'Natuurgras huidig'!C34,'Natuurgras huidig'!D34)</f>
        <v>146</v>
      </c>
      <c r="E35" s="285"/>
    </row>
    <row r="36" spans="2:7" x14ac:dyDescent="0.3">
      <c r="B36" s="11" t="str">
        <f>'Natuurgras huidig'!B35</f>
        <v>Toevoegmiddelen</v>
      </c>
      <c r="C36" s="48">
        <f>'Natuurgras huidig'!C35</f>
        <v>31</v>
      </c>
      <c r="D36" s="105">
        <f>IF('Natuurgras huidig'!D35=0,'Natuurgras huidig'!C35,'Natuurgras huidig'!D35)</f>
        <v>31</v>
      </c>
      <c r="E36" s="285"/>
    </row>
    <row r="37" spans="2:7" x14ac:dyDescent="0.3">
      <c r="B37" s="224" t="str">
        <f>'Natuurgras huidig'!B36</f>
        <v>Kosten per jaar</v>
      </c>
      <c r="C37" s="306">
        <f>'Natuurgras huidig'!C36</f>
        <v>469</v>
      </c>
      <c r="D37" s="105">
        <f>IF('Natuurgras huidig'!D36=0,'Natuurgras huidig'!C36,'Natuurgras huidig'!D36)</f>
        <v>469</v>
      </c>
      <c r="E37" s="308">
        <f>(IF(E34=0,C34,E34)*IF(E35=0,C35,E35))+IF(E36=0,C36,E36)</f>
        <v>469</v>
      </c>
    </row>
    <row r="38" spans="2:7" x14ac:dyDescent="0.3">
      <c r="B38" s="200"/>
      <c r="C38" s="200"/>
      <c r="D38" s="302"/>
      <c r="E38" s="300"/>
    </row>
    <row r="39" spans="2:7" x14ac:dyDescent="0.3">
      <c r="B39" s="11" t="str">
        <f>'Natuurgras huidig'!B38</f>
        <v>Kosten per Ha</v>
      </c>
      <c r="C39" s="48">
        <f>'Natuurgras huidig'!C38</f>
        <v>594</v>
      </c>
      <c r="D39" s="105">
        <f>IF('Natuurgras huidig'!D38=0,'Natuurgras huidig'!C38,'Natuurgras huidig'!D38)</f>
        <v>594</v>
      </c>
      <c r="E39" s="48">
        <f>E37+E31+E26+E20</f>
        <v>594</v>
      </c>
    </row>
    <row r="40" spans="2:7" x14ac:dyDescent="0.3">
      <c r="B40" s="11" t="str">
        <f>'Natuurgras huidig'!B39</f>
        <v>Kosten per KG DS</v>
      </c>
      <c r="C40" s="47">
        <f>'Natuurgras huidig'!C39</f>
        <v>9.9000000000000005E-2</v>
      </c>
      <c r="D40" s="104">
        <f>IF('Natuurgras huidig'!D39=0,'Natuurgras huidig'!C39,'Natuurgras huidig'!D39)</f>
        <v>9.9000000000000005E-2</v>
      </c>
      <c r="E40" s="47">
        <f>IF(E10=0,E39/C10,E39/E10)</f>
        <v>9.9000000000000005E-2</v>
      </c>
    </row>
    <row r="41" spans="2:7" x14ac:dyDescent="0.3">
      <c r="B41" s="11" t="str">
        <f>'Natuurgras huidig'!B40</f>
        <v>Kosten per kVEM</v>
      </c>
      <c r="C41" s="47">
        <f>'Natuurgras huidig'!C40</f>
        <v>0.13750000000000001</v>
      </c>
      <c r="D41" s="104">
        <f>IF('Natuurgras huidig'!D40=0,'Natuurgras huidig'!C40,'Natuurgras huidig'!D40)</f>
        <v>0.13750000000000001</v>
      </c>
      <c r="E41" s="47">
        <f>IF(E10=0,IF(E11=0,E39/(C10*C11),E39/C10*E11),IF(E11=0,E39/(E10*C11),E39/E10*E11))*1000</f>
        <v>0.13750000000000001</v>
      </c>
    </row>
  </sheetData>
  <sheetProtection sheet="1" objects="1" scenarios="1" selectLockedCells="1"/>
  <mergeCells count="1">
    <mergeCell ref="B2:E3"/>
  </mergeCells>
  <conditionalFormatting sqref="E10:E12 E15:E41">
    <cfRule type="expression" dxfId="35" priority="112">
      <formula>$B$5&lt;3</formula>
    </cfRule>
  </conditionalFormatting>
  <conditionalFormatting sqref="D10:D12 D15:D41">
    <cfRule type="expression" dxfId="34" priority="114">
      <formula>$B$5=2</formula>
    </cfRule>
  </conditionalFormatting>
  <conditionalFormatting sqref="E9 E14">
    <cfRule type="expression" dxfId="33" priority="2">
      <formula>$B$5=3</formula>
    </cfRule>
  </conditionalFormatting>
  <conditionalFormatting sqref="D37 D33 D31 D28 D26 D22 D20 D14 D9">
    <cfRule type="expression" dxfId="32" priority="1">
      <formula>$B$5=2</formula>
    </cfRule>
  </conditionalFormatting>
  <dataValidations count="1">
    <dataValidation type="decimal" operator="greaterThanOrEqual" allowBlank="1" showInputMessage="1" showErrorMessage="1" errorTitle="Fout" error="Typ een getal groter of gelijk aan 0." sqref="E10:E12 E15:E18 E19 E23:E25 E30 E29 E34:E36" xr:uid="{28C8CB07-3DC9-49D8-8FD5-7828138EFC38}">
      <formula1>0</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3793" r:id="rId4" name="Option Button 1">
              <controlPr defaultSize="0" autoFill="0" autoLine="0" autoPict="0">
                <anchor moveWithCells="1">
                  <from>
                    <xdr:col>1</xdr:col>
                    <xdr:colOff>0</xdr:colOff>
                    <xdr:row>4</xdr:row>
                    <xdr:rowOff>0</xdr:rowOff>
                  </from>
                  <to>
                    <xdr:col>2</xdr:col>
                    <xdr:colOff>0</xdr:colOff>
                    <xdr:row>5</xdr:row>
                    <xdr:rowOff>7620</xdr:rowOff>
                  </to>
                </anchor>
              </controlPr>
            </control>
          </mc:Choice>
        </mc:AlternateContent>
        <mc:AlternateContent xmlns:mc="http://schemas.openxmlformats.org/markup-compatibility/2006">
          <mc:Choice Requires="x14">
            <control shapeId="33794" r:id="rId5" name="Option Button 2">
              <controlPr defaultSize="0" autoFill="0" autoLine="0" autoPict="0">
                <anchor moveWithCells="1">
                  <from>
                    <xdr:col>1</xdr:col>
                    <xdr:colOff>0</xdr:colOff>
                    <xdr:row>5</xdr:row>
                    <xdr:rowOff>0</xdr:rowOff>
                  </from>
                  <to>
                    <xdr:col>2</xdr:col>
                    <xdr:colOff>0</xdr:colOff>
                    <xdr:row>6</xdr:row>
                    <xdr:rowOff>0</xdr:rowOff>
                  </to>
                </anchor>
              </controlPr>
            </control>
          </mc:Choice>
        </mc:AlternateContent>
        <mc:AlternateContent xmlns:mc="http://schemas.openxmlformats.org/markup-compatibility/2006">
          <mc:Choice Requires="x14">
            <control shapeId="33795" r:id="rId6" name="Option Button 3">
              <controlPr defaultSize="0" autoFill="0" autoLine="0" autoPict="0">
                <anchor moveWithCells="1">
                  <from>
                    <xdr:col>1</xdr:col>
                    <xdr:colOff>0</xdr:colOff>
                    <xdr:row>6</xdr:row>
                    <xdr:rowOff>0</xdr:rowOff>
                  </from>
                  <to>
                    <xdr:col>2</xdr:col>
                    <xdr:colOff>0</xdr:colOff>
                    <xdr:row>7</xdr:row>
                    <xdr:rowOff>0</xdr:rowOff>
                  </to>
                </anchor>
              </controlPr>
            </control>
          </mc:Choice>
        </mc:AlternateContent>
      </controls>
    </mc:Choice>
  </mc:AlternateContent>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5F85B6-52D6-4094-8BA6-AA185F791560}">
  <sheetPr codeName="Blad26">
    <tabColor theme="8" tint="0.59999389629810485"/>
  </sheetPr>
  <dimension ref="B2:I38"/>
  <sheetViews>
    <sheetView showGridLines="0" zoomScale="80" zoomScaleNormal="80" workbookViewId="0">
      <selection activeCell="E33" activeCellId="7" sqref="E10:E12 E15:E16 E17 E21:E23 E27 E28 E32 E33"/>
    </sheetView>
  </sheetViews>
  <sheetFormatPr defaultRowHeight="14.4" x14ac:dyDescent="0.3"/>
  <cols>
    <col min="1" max="1" width="2.77734375" customWidth="1"/>
    <col min="2" max="2" width="30.5546875" customWidth="1"/>
    <col min="3" max="5" width="16.77734375" customWidth="1"/>
    <col min="6" max="6" width="2.5546875" customWidth="1"/>
  </cols>
  <sheetData>
    <row r="2" spans="2:9" x14ac:dyDescent="0.3">
      <c r="B2" s="456" t="s">
        <v>218</v>
      </c>
      <c r="C2" s="456"/>
      <c r="D2" s="456"/>
      <c r="E2" s="456"/>
    </row>
    <row r="3" spans="2:9" x14ac:dyDescent="0.3">
      <c r="B3" s="456"/>
      <c r="C3" s="456"/>
      <c r="D3" s="456"/>
      <c r="E3" s="456"/>
    </row>
    <row r="5" spans="2:9" x14ac:dyDescent="0.3">
      <c r="B5" s="277">
        <v>1</v>
      </c>
    </row>
    <row r="6" spans="2:9" x14ac:dyDescent="0.3">
      <c r="B6" s="240"/>
    </row>
    <row r="7" spans="2:9" x14ac:dyDescent="0.3">
      <c r="B7" s="240"/>
    </row>
    <row r="9" spans="2:9" x14ac:dyDescent="0.3">
      <c r="B9" s="193"/>
      <c r="C9" s="193" t="str">
        <f>'Maisland huidig'!C8</f>
        <v>Gem. opbrengst</v>
      </c>
      <c r="D9" s="228" t="s">
        <v>133</v>
      </c>
      <c r="E9" s="228" t="s">
        <v>102</v>
      </c>
      <c r="I9" s="25"/>
    </row>
    <row r="10" spans="2:9" x14ac:dyDescent="0.3">
      <c r="B10" s="11" t="str">
        <f>'Maisland huidig'!B9</f>
        <v>Opbrengst in KG DS</v>
      </c>
      <c r="C10" s="44">
        <f>'Maisland huidig'!C9</f>
        <v>16500</v>
      </c>
      <c r="D10" s="68">
        <f>IF('Maisland huidig'!D9=0,'Maisland huidig'!C9,'Maisland huidig'!D9)</f>
        <v>16500</v>
      </c>
      <c r="E10" s="287"/>
    </row>
    <row r="11" spans="2:9" x14ac:dyDescent="0.3">
      <c r="B11" s="11" t="str">
        <f>'Maisland huidig'!B10</f>
        <v>VEM per KG DS</v>
      </c>
      <c r="C11" s="11">
        <f>'Maisland huidig'!C10</f>
        <v>980</v>
      </c>
      <c r="D11" s="23">
        <f>IF('Maisland huidig'!D10=0,'Maisland huidig'!C10,'Maisland huidig'!D10)</f>
        <v>980</v>
      </c>
      <c r="E11" s="280"/>
    </row>
    <row r="12" spans="2:9" x14ac:dyDescent="0.3">
      <c r="B12" s="11" t="str">
        <f>'Maisland huidig'!B11</f>
        <v>DVE per KG DS</v>
      </c>
      <c r="C12" s="11">
        <f>'Maisland huidig'!C11</f>
        <v>52</v>
      </c>
      <c r="D12" s="23">
        <f>IF('Maisland huidig'!D11=0,'Maisland huidig'!C11,'Maisland huidig'!D11)</f>
        <v>52</v>
      </c>
      <c r="E12" s="280"/>
    </row>
    <row r="13" spans="2:9" x14ac:dyDescent="0.3">
      <c r="B13" s="200"/>
      <c r="C13" s="200"/>
      <c r="D13" s="200"/>
      <c r="E13" s="200"/>
    </row>
    <row r="14" spans="2:9" x14ac:dyDescent="0.3">
      <c r="B14" s="193" t="str">
        <f>'Maisland huidig'!B13</f>
        <v>Inzaaien</v>
      </c>
      <c r="C14" s="193" t="str">
        <f>'Maisland huidig'!C13</f>
        <v>Gem. kosten</v>
      </c>
      <c r="D14" s="228" t="s">
        <v>133</v>
      </c>
      <c r="E14" s="228" t="s">
        <v>102</v>
      </c>
    </row>
    <row r="15" spans="2:9" x14ac:dyDescent="0.3">
      <c r="B15" s="11" t="str">
        <f>'Maisland huidig'!B14</f>
        <v>Ploegen/zaaiklaar maken</v>
      </c>
      <c r="C15" s="48">
        <f>'Maisland huidig'!C14</f>
        <v>197</v>
      </c>
      <c r="D15" s="103">
        <f>IF('Maisland huidig'!D14=0,'Maisland huidig'!C14,'Maisland huidig'!D14)</f>
        <v>197</v>
      </c>
      <c r="E15" s="285"/>
    </row>
    <row r="16" spans="2:9" x14ac:dyDescent="0.3">
      <c r="B16" s="11" t="str">
        <f>'Maisland huidig'!B15</f>
        <v>Zaaien</v>
      </c>
      <c r="C16" s="48">
        <f>'Maisland huidig'!C15</f>
        <v>80</v>
      </c>
      <c r="D16" s="103">
        <f>IF('Maisland huidig'!D15=0,'Maisland huidig'!C15,'Maisland huidig'!D15)</f>
        <v>80</v>
      </c>
      <c r="E16" s="285"/>
    </row>
    <row r="17" spans="2:7" x14ac:dyDescent="0.3">
      <c r="B17" s="11" t="str">
        <f>'Maisland huidig'!B16</f>
        <v>Zaaizaad</v>
      </c>
      <c r="C17" s="48">
        <f>'Maisland huidig'!C16</f>
        <v>225</v>
      </c>
      <c r="D17" s="103">
        <f>IF('Maisland huidig'!D16=0,'Maisland huidig'!C16,'Maisland huidig'!D16)</f>
        <v>225</v>
      </c>
      <c r="E17" s="285"/>
    </row>
    <row r="18" spans="2:7" x14ac:dyDescent="0.3">
      <c r="B18" s="224" t="str">
        <f>'Maisland huidig'!B17</f>
        <v>Kosten per jaar</v>
      </c>
      <c r="C18" s="306">
        <f>'Maisland huidig'!C17</f>
        <v>502</v>
      </c>
      <c r="D18" s="105">
        <f>IF('Maisland huidig'!D17=0,'Maisland huidig'!C17,'Maisland huidig'!D17)</f>
        <v>502</v>
      </c>
      <c r="E18" s="308">
        <f>IF(E15=0,C15,E15)+IF(E16=0,C16,E16)+IF(E17=0,C17,E17)</f>
        <v>502</v>
      </c>
    </row>
    <row r="19" spans="2:7" x14ac:dyDescent="0.3">
      <c r="B19" s="200"/>
      <c r="C19" s="200"/>
      <c r="D19" s="302"/>
      <c r="E19" s="200"/>
    </row>
    <row r="20" spans="2:7" x14ac:dyDescent="0.3">
      <c r="B20" s="193" t="str">
        <f>'Maisland huidig'!B19</f>
        <v>Bemesten</v>
      </c>
      <c r="C20" s="193"/>
      <c r="D20" s="305"/>
      <c r="E20" s="193"/>
    </row>
    <row r="21" spans="2:7" x14ac:dyDescent="0.3">
      <c r="B21" s="11" t="str">
        <f>'Maisland huidig'!B20</f>
        <v>Dierlijke mest uitrijden</v>
      </c>
      <c r="C21" s="48">
        <f>'Maisland huidig'!C20</f>
        <v>125</v>
      </c>
      <c r="D21" s="103">
        <f>IF('Maisland huidig'!D20=0,'Maisland huidig'!C20,'Maisland huidig'!D20)</f>
        <v>125</v>
      </c>
      <c r="E21" s="285"/>
    </row>
    <row r="22" spans="2:7" x14ac:dyDescent="0.3">
      <c r="B22" s="11" t="str">
        <f>'Maisland huidig'!B21</f>
        <v>Kunstmest aanvoer (of dergelijken)</v>
      </c>
      <c r="C22" s="48">
        <f>'Maisland huidig'!C21</f>
        <v>41</v>
      </c>
      <c r="D22" s="103">
        <f>IF('Maisland huidig'!D21=0,'Maisland huidig'!C21,'Maisland huidig'!D21)</f>
        <v>41</v>
      </c>
      <c r="E22" s="285"/>
    </row>
    <row r="23" spans="2:7" x14ac:dyDescent="0.3">
      <c r="B23" s="11" t="str">
        <f>'Maisland huidig'!B22</f>
        <v>Kunstmest strooien</v>
      </c>
      <c r="C23" s="48">
        <f>'Maisland huidig'!C22</f>
        <v>25</v>
      </c>
      <c r="D23" s="103">
        <f>IF('Maisland huidig'!D22=0,'Maisland huidig'!C22,'Maisland huidig'!D22)</f>
        <v>25</v>
      </c>
      <c r="E23" s="285"/>
    </row>
    <row r="24" spans="2:7" x14ac:dyDescent="0.3">
      <c r="B24" s="224" t="str">
        <f>'Maisland huidig'!B23</f>
        <v>Kosten per jaar</v>
      </c>
      <c r="C24" s="306">
        <f>'Maisland huidig'!C23</f>
        <v>191</v>
      </c>
      <c r="D24" s="105">
        <f>IF('Maisland huidig'!D23=0,'Maisland huidig'!C23,'Maisland huidig'!D23)</f>
        <v>191</v>
      </c>
      <c r="E24" s="308">
        <f>IF(E21=0,C21,E21)+IF(E22=0,C22,E22)+IF(E23=0,C23,E23)</f>
        <v>191</v>
      </c>
    </row>
    <row r="25" spans="2:7" x14ac:dyDescent="0.3">
      <c r="B25" s="200"/>
      <c r="C25" s="200"/>
      <c r="D25" s="302"/>
      <c r="E25" s="200"/>
    </row>
    <row r="26" spans="2:7" x14ac:dyDescent="0.3">
      <c r="B26" s="193" t="str">
        <f>'Maisland huidig'!B25</f>
        <v>Gewasbescherming</v>
      </c>
      <c r="C26" s="193"/>
      <c r="D26" s="305"/>
      <c r="E26" s="193"/>
    </row>
    <row r="27" spans="2:7" x14ac:dyDescent="0.3">
      <c r="B27" s="11" t="str">
        <f>'Maisland huidig'!B26</f>
        <v>Spuiten</v>
      </c>
      <c r="C27" s="48">
        <f>'Maisland huidig'!C26</f>
        <v>40</v>
      </c>
      <c r="D27" s="103">
        <f>IF('Maisland huidig'!D26=0,'Maisland huidig'!C26,'Maisland huidig'!D26)</f>
        <v>40</v>
      </c>
      <c r="E27" s="285"/>
    </row>
    <row r="28" spans="2:7" x14ac:dyDescent="0.3">
      <c r="B28" s="11" t="str">
        <f>'Maisland huidig'!B27</f>
        <v>Gewasbeschermingsmiddelen</v>
      </c>
      <c r="C28" s="48">
        <f>'Maisland huidig'!C27</f>
        <v>76</v>
      </c>
      <c r="D28" s="103">
        <f>IF('Maisland huidig'!D27=0,'Maisland huidig'!C27,'Maisland huidig'!D27)</f>
        <v>76</v>
      </c>
      <c r="E28" s="285"/>
    </row>
    <row r="29" spans="2:7" x14ac:dyDescent="0.3">
      <c r="B29" s="224" t="str">
        <f>'Maisland huidig'!B28</f>
        <v>Kosten per jaar</v>
      </c>
      <c r="C29" s="306">
        <f>'Maisland huidig'!C28</f>
        <v>116</v>
      </c>
      <c r="D29" s="105">
        <f>IF('Maisland huidig'!D28=0,'Maisland huidig'!C28,'Maisland huidig'!D28)</f>
        <v>116</v>
      </c>
      <c r="E29" s="308">
        <f>IF(E27=0,C27,E27)+IF(E28=0,C28,E28)</f>
        <v>116</v>
      </c>
    </row>
    <row r="30" spans="2:7" x14ac:dyDescent="0.3">
      <c r="B30" s="200"/>
      <c r="C30" s="200"/>
      <c r="D30" s="302"/>
      <c r="E30" s="200"/>
    </row>
    <row r="31" spans="2:7" x14ac:dyDescent="0.3">
      <c r="B31" s="193" t="str">
        <f>'Maisland huidig'!B30</f>
        <v>Oogsten</v>
      </c>
      <c r="C31" s="193"/>
      <c r="D31" s="305"/>
      <c r="E31" s="193"/>
    </row>
    <row r="32" spans="2:7" x14ac:dyDescent="0.3">
      <c r="B32" s="11" t="str">
        <f>'Maisland huidig'!B31</f>
        <v>Maishakselen</v>
      </c>
      <c r="C32" s="48">
        <f>'Maisland huidig'!C31</f>
        <v>420</v>
      </c>
      <c r="D32" s="103">
        <f>IF('Maisland huidig'!D31=0,'Maisland huidig'!C31,'Maisland huidig'!D31)</f>
        <v>420</v>
      </c>
      <c r="E32" s="285"/>
      <c r="G32" t="s">
        <v>55</v>
      </c>
    </row>
    <row r="33" spans="2:5" x14ac:dyDescent="0.3">
      <c r="B33" s="11" t="str">
        <f>'Maisland huidig'!B32</f>
        <v>Toevoegmiddelen</v>
      </c>
      <c r="C33" s="48">
        <f>'Maisland huidig'!C32</f>
        <v>0</v>
      </c>
      <c r="D33" s="103">
        <f>IF('Maisland huidig'!D32=0,'Maisland huidig'!C32,'Maisland huidig'!D32)</f>
        <v>0</v>
      </c>
      <c r="E33" s="285"/>
    </row>
    <row r="34" spans="2:5" x14ac:dyDescent="0.3">
      <c r="B34" s="224" t="str">
        <f>'Maisland huidig'!B33</f>
        <v>Kosten per jaar</v>
      </c>
      <c r="C34" s="306">
        <f>'Maisland huidig'!C33</f>
        <v>420</v>
      </c>
      <c r="D34" s="105">
        <f>IF('Maisland huidig'!D33=0,'Maisland huidig'!C33,'Maisland huidig'!D33)</f>
        <v>420</v>
      </c>
      <c r="E34" s="308">
        <f>IF(E32=0,C32,E32)+IF(E33=0,C33,E33)</f>
        <v>420</v>
      </c>
    </row>
    <row r="35" spans="2:5" x14ac:dyDescent="0.3">
      <c r="B35" s="200"/>
      <c r="C35" s="200"/>
      <c r="D35" s="302"/>
      <c r="E35" s="200"/>
    </row>
    <row r="36" spans="2:5" x14ac:dyDescent="0.3">
      <c r="B36" s="11" t="str">
        <f>'Maisland huidig'!B35</f>
        <v>Kosten per Ha</v>
      </c>
      <c r="C36" s="48">
        <f>'Maisland huidig'!C35</f>
        <v>1229</v>
      </c>
      <c r="D36" s="103">
        <f>IF('Maisland huidig'!D35=0,'Maisland huidig'!C35,'Maisland huidig'!D35)</f>
        <v>1229</v>
      </c>
      <c r="E36" s="48">
        <f>E34+E29+E24+E18</f>
        <v>1229</v>
      </c>
    </row>
    <row r="37" spans="2:5" x14ac:dyDescent="0.3">
      <c r="B37" s="11" t="str">
        <f>'Maisland huidig'!B36</f>
        <v>Kosten per KG DS</v>
      </c>
      <c r="C37" s="47">
        <f>'Maisland huidig'!C36</f>
        <v>7.4484848484848487E-2</v>
      </c>
      <c r="D37" s="102">
        <f>IF('Maisland huidig'!D36=0,'Maisland huidig'!C36,'Maisland huidig'!D36)</f>
        <v>7.4484848484848487E-2</v>
      </c>
      <c r="E37" s="47">
        <f>IF(E10=0,E36/C10,E36/E10)</f>
        <v>7.4484848484848487E-2</v>
      </c>
    </row>
    <row r="38" spans="2:5" x14ac:dyDescent="0.3">
      <c r="B38" s="11" t="str">
        <f>'Maisland huidig'!B37</f>
        <v>Kosten per kVEM</v>
      </c>
      <c r="C38" s="47">
        <f>'Maisland huidig'!C37</f>
        <v>7.6004947433518863E-2</v>
      </c>
      <c r="D38" s="102">
        <f>IF('Maisland huidig'!D37=0,'Maisland huidig'!C37,'Maisland huidig'!D37)</f>
        <v>7.6004947433518863E-2</v>
      </c>
      <c r="E38" s="47">
        <f>IF(E10=0,IF(E11=0,E36/(C10*C11),E36/(C10*E11)),IF(E11=0,E36/(E10*C11),E36/(E10*E11)))*1000</f>
        <v>7.6004947433518863E-2</v>
      </c>
    </row>
  </sheetData>
  <sheetProtection sheet="1" objects="1" scenarios="1" selectLockedCells="1"/>
  <mergeCells count="1">
    <mergeCell ref="B2:E3"/>
  </mergeCells>
  <conditionalFormatting sqref="D10:D12 D15:D38">
    <cfRule type="expression" dxfId="31" priority="115">
      <formula>$B$5=2</formula>
    </cfRule>
  </conditionalFormatting>
  <conditionalFormatting sqref="E10:E12 E15:E38">
    <cfRule type="expression" dxfId="30" priority="117">
      <formula>$B$5&lt;3</formula>
    </cfRule>
  </conditionalFormatting>
  <conditionalFormatting sqref="E9 E14">
    <cfRule type="expression" dxfId="29" priority="2">
      <formula>$B$5=3</formula>
    </cfRule>
  </conditionalFormatting>
  <conditionalFormatting sqref="D9 D14 D18 D20 D24 D26 D29 D31 D34">
    <cfRule type="expression" dxfId="28" priority="1">
      <formula>$B$5=2</formula>
    </cfRule>
  </conditionalFormatting>
  <dataValidations count="1">
    <dataValidation type="decimal" operator="greaterThanOrEqual" allowBlank="1" showInputMessage="1" showErrorMessage="1" errorTitle="Fout" error="Typ een getal groter of gelijk aan 0." sqref="E10:E12 E15:E16 E17 E21:E23 E27 E28 E32 E33" xr:uid="{21AFC4AF-3F07-4E00-98EB-F76BD2CA027C}">
      <formula1>0</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4817" r:id="rId4" name="Option Button 1">
              <controlPr defaultSize="0" autoFill="0" autoLine="0" autoPict="0">
                <anchor moveWithCells="1">
                  <from>
                    <xdr:col>1</xdr:col>
                    <xdr:colOff>0</xdr:colOff>
                    <xdr:row>4</xdr:row>
                    <xdr:rowOff>0</xdr:rowOff>
                  </from>
                  <to>
                    <xdr:col>2</xdr:col>
                    <xdr:colOff>0</xdr:colOff>
                    <xdr:row>5</xdr:row>
                    <xdr:rowOff>7620</xdr:rowOff>
                  </to>
                </anchor>
              </controlPr>
            </control>
          </mc:Choice>
        </mc:AlternateContent>
        <mc:AlternateContent xmlns:mc="http://schemas.openxmlformats.org/markup-compatibility/2006">
          <mc:Choice Requires="x14">
            <control shapeId="34818" r:id="rId5" name="Option Button 2">
              <controlPr defaultSize="0" autoFill="0" autoLine="0" autoPict="0">
                <anchor moveWithCells="1">
                  <from>
                    <xdr:col>1</xdr:col>
                    <xdr:colOff>0</xdr:colOff>
                    <xdr:row>5</xdr:row>
                    <xdr:rowOff>0</xdr:rowOff>
                  </from>
                  <to>
                    <xdr:col>2</xdr:col>
                    <xdr:colOff>0</xdr:colOff>
                    <xdr:row>6</xdr:row>
                    <xdr:rowOff>0</xdr:rowOff>
                  </to>
                </anchor>
              </controlPr>
            </control>
          </mc:Choice>
        </mc:AlternateContent>
        <mc:AlternateContent xmlns:mc="http://schemas.openxmlformats.org/markup-compatibility/2006">
          <mc:Choice Requires="x14">
            <control shapeId="34819" r:id="rId6" name="Option Button 3">
              <controlPr defaultSize="0" autoFill="0" autoLine="0" autoPict="0">
                <anchor moveWithCells="1">
                  <from>
                    <xdr:col>1</xdr:col>
                    <xdr:colOff>0</xdr:colOff>
                    <xdr:row>6</xdr:row>
                    <xdr:rowOff>0</xdr:rowOff>
                  </from>
                  <to>
                    <xdr:col>2</xdr:col>
                    <xdr:colOff>0</xdr:colOff>
                    <xdr:row>7</xdr:row>
                    <xdr:rowOff>0</xdr:rowOff>
                  </to>
                </anchor>
              </controlPr>
            </control>
          </mc:Choice>
        </mc:AlternateContent>
      </controls>
    </mc:Choice>
  </mc:AlternateContent>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3FD234-0FA5-4E2C-BE21-EAE2184592D2}">
  <sheetPr codeName="Blad27">
    <tabColor theme="8" tint="0.59999389629810485"/>
  </sheetPr>
  <dimension ref="B2:G38"/>
  <sheetViews>
    <sheetView showGridLines="0" zoomScale="80" zoomScaleNormal="80" workbookViewId="0">
      <selection activeCell="E33" activeCellId="6" sqref="E10:E12 E15:E17 E21:E23 E27 E28 E32 E33"/>
    </sheetView>
  </sheetViews>
  <sheetFormatPr defaultRowHeight="14.4" x14ac:dyDescent="0.3"/>
  <cols>
    <col min="1" max="1" width="2.77734375" customWidth="1"/>
    <col min="2" max="2" width="30.5546875" customWidth="1"/>
    <col min="3" max="5" width="16.77734375" customWidth="1"/>
    <col min="6" max="6" width="2.5546875" customWidth="1"/>
  </cols>
  <sheetData>
    <row r="2" spans="2:6" x14ac:dyDescent="0.3">
      <c r="B2" s="456" t="s">
        <v>217</v>
      </c>
      <c r="C2" s="456"/>
      <c r="D2" s="456"/>
      <c r="E2" s="456"/>
    </row>
    <row r="3" spans="2:6" x14ac:dyDescent="0.3">
      <c r="B3" s="456"/>
      <c r="C3" s="456"/>
      <c r="D3" s="456"/>
      <c r="E3" s="456"/>
    </row>
    <row r="5" spans="2:6" x14ac:dyDescent="0.3">
      <c r="B5" s="277">
        <v>1</v>
      </c>
    </row>
    <row r="6" spans="2:6" x14ac:dyDescent="0.3">
      <c r="B6" s="240"/>
    </row>
    <row r="7" spans="2:6" x14ac:dyDescent="0.3">
      <c r="B7" s="240"/>
    </row>
    <row r="9" spans="2:6" x14ac:dyDescent="0.3">
      <c r="B9" s="193"/>
      <c r="C9" s="193" t="str">
        <f>'Voederbieten huidig'!C8</f>
        <v>Gem. opbrengst</v>
      </c>
      <c r="D9" s="228" t="s">
        <v>133</v>
      </c>
      <c r="E9" s="228" t="s">
        <v>102</v>
      </c>
    </row>
    <row r="10" spans="2:6" x14ac:dyDescent="0.3">
      <c r="B10" s="11" t="str">
        <f>'Voederbieten huidig'!B9</f>
        <v>Opbrengst in KG DS</v>
      </c>
      <c r="C10" s="44">
        <f>'Voederbieten huidig'!C9</f>
        <v>17000</v>
      </c>
      <c r="D10" s="68">
        <f>IF('Voederbieten huidig'!D9=0,'Voederbieten huidig'!C9,'Voederbieten huidig'!D9)</f>
        <v>17000</v>
      </c>
      <c r="E10" s="287"/>
    </row>
    <row r="11" spans="2:6" x14ac:dyDescent="0.3">
      <c r="B11" s="11" t="str">
        <f>'Voederbieten huidig'!B10</f>
        <v>VEM per KG DS</v>
      </c>
      <c r="C11" s="11">
        <f>'Voederbieten huidig'!C10</f>
        <v>1100</v>
      </c>
      <c r="D11" s="23">
        <f>IF('Voederbieten huidig'!D10=0,'Voederbieten huidig'!C10,'Voederbieten huidig'!D10)</f>
        <v>1100</v>
      </c>
      <c r="E11" s="280"/>
    </row>
    <row r="12" spans="2:6" x14ac:dyDescent="0.3">
      <c r="B12" s="11" t="str">
        <f>'Voederbieten huidig'!B11</f>
        <v>DVE per KG DS</v>
      </c>
      <c r="C12" s="11">
        <f>'Voederbieten huidig'!C11</f>
        <v>100</v>
      </c>
      <c r="D12" s="23">
        <f>IF('Voederbieten huidig'!D11=0,'Voederbieten huidig'!C11,'Voederbieten huidig'!D11)</f>
        <v>100</v>
      </c>
      <c r="E12" s="280"/>
    </row>
    <row r="13" spans="2:6" x14ac:dyDescent="0.3">
      <c r="B13" s="200"/>
      <c r="C13" s="200"/>
      <c r="D13" s="200"/>
      <c r="E13" s="200"/>
    </row>
    <row r="14" spans="2:6" x14ac:dyDescent="0.3">
      <c r="B14" s="193" t="str">
        <f>'Voederbieten huidig'!B13</f>
        <v>Inzaaien</v>
      </c>
      <c r="C14" s="193" t="str">
        <f>'Voederbieten huidig'!C13</f>
        <v>Gem. kosten</v>
      </c>
      <c r="D14" s="228" t="s">
        <v>133</v>
      </c>
      <c r="E14" s="228" t="s">
        <v>102</v>
      </c>
    </row>
    <row r="15" spans="2:6" x14ac:dyDescent="0.3">
      <c r="B15" s="11" t="str">
        <f>'Voederbieten huidig'!B14</f>
        <v>Ploegen/zaaiklaar maken</v>
      </c>
      <c r="C15" s="48">
        <f>'Voederbieten huidig'!C14</f>
        <v>197</v>
      </c>
      <c r="D15" s="103">
        <f>IF('Voederbieten huidig'!D14=0,'Voederbieten huidig'!C14,'Voederbieten huidig'!D14)</f>
        <v>197</v>
      </c>
      <c r="E15" s="285"/>
    </row>
    <row r="16" spans="2:6" x14ac:dyDescent="0.3">
      <c r="B16" s="11" t="str">
        <f>'Voederbieten huidig'!B15</f>
        <v>Zaaien</v>
      </c>
      <c r="C16" s="48">
        <f>'Voederbieten huidig'!C15</f>
        <v>75</v>
      </c>
      <c r="D16" s="103">
        <f>IF('Voederbieten huidig'!D15=0,'Voederbieten huidig'!C15,'Voederbieten huidig'!D15)</f>
        <v>75</v>
      </c>
      <c r="E16" s="285"/>
    </row>
    <row r="17" spans="2:7" x14ac:dyDescent="0.3">
      <c r="B17" s="11" t="str">
        <f>'Voederbieten huidig'!B16</f>
        <v>Zaaizaad</v>
      </c>
      <c r="C17" s="48">
        <f>'Voederbieten huidig'!C16</f>
        <v>300</v>
      </c>
      <c r="D17" s="103">
        <f>IF('Voederbieten huidig'!D16=0,'Voederbieten huidig'!C16,'Voederbieten huidig'!D16)</f>
        <v>300</v>
      </c>
      <c r="E17" s="285"/>
    </row>
    <row r="18" spans="2:7" x14ac:dyDescent="0.3">
      <c r="B18" s="224" t="str">
        <f>'Voederbieten huidig'!B17</f>
        <v>Kosten per jaar</v>
      </c>
      <c r="C18" s="306">
        <f>'Voederbieten huidig'!C17</f>
        <v>572</v>
      </c>
      <c r="D18" s="105">
        <f>IF('Voederbieten huidig'!D17=0,'Voederbieten huidig'!C17,'Voederbieten huidig'!D17)</f>
        <v>572</v>
      </c>
      <c r="E18" s="308">
        <f>IF(E15=0,C15,E15)+IF(E16=0,C16,E16)+IF(E17=0,C17,E17)</f>
        <v>572</v>
      </c>
    </row>
    <row r="19" spans="2:7" x14ac:dyDescent="0.3">
      <c r="B19" s="200"/>
      <c r="C19" s="200"/>
      <c r="D19" s="302"/>
      <c r="E19" s="200"/>
    </row>
    <row r="20" spans="2:7" x14ac:dyDescent="0.3">
      <c r="B20" s="193" t="str">
        <f>'Voederbieten huidig'!B19</f>
        <v>Bemesten</v>
      </c>
      <c r="C20" s="193"/>
      <c r="D20" s="305"/>
      <c r="E20" s="193"/>
    </row>
    <row r="21" spans="2:7" x14ac:dyDescent="0.3">
      <c r="B21" s="11" t="str">
        <f>'Voederbieten huidig'!B20</f>
        <v>Dierlijke mest uitrijden</v>
      </c>
      <c r="C21" s="48">
        <f>'Voederbieten huidig'!C20</f>
        <v>140</v>
      </c>
      <c r="D21" s="103">
        <f>IF('Voederbieten huidig'!D20=0,'Voederbieten huidig'!C20,'Voederbieten huidig'!D20)</f>
        <v>140</v>
      </c>
      <c r="E21" s="285"/>
    </row>
    <row r="22" spans="2:7" x14ac:dyDescent="0.3">
      <c r="B22" s="11" t="str">
        <f>'Voederbieten huidig'!B21</f>
        <v>Kunstmest aanvoer (of dergelijken)</v>
      </c>
      <c r="C22" s="48">
        <f>'Voederbieten huidig'!C21</f>
        <v>85</v>
      </c>
      <c r="D22" s="103">
        <f>IF('Voederbieten huidig'!D21=0,'Voederbieten huidig'!C21,'Voederbieten huidig'!D21)</f>
        <v>85</v>
      </c>
      <c r="E22" s="285"/>
    </row>
    <row r="23" spans="2:7" x14ac:dyDescent="0.3">
      <c r="B23" s="11" t="str">
        <f>'Voederbieten huidig'!B22</f>
        <v>Kunstmest strooien</v>
      </c>
      <c r="C23" s="48">
        <f>'Voederbieten huidig'!C22</f>
        <v>25</v>
      </c>
      <c r="D23" s="103">
        <f>IF('Voederbieten huidig'!D22=0,'Voederbieten huidig'!C22,'Voederbieten huidig'!D22)</f>
        <v>25</v>
      </c>
      <c r="E23" s="285"/>
    </row>
    <row r="24" spans="2:7" x14ac:dyDescent="0.3">
      <c r="B24" s="224" t="str">
        <f>'Voederbieten huidig'!B23</f>
        <v>Kosten per jaar</v>
      </c>
      <c r="C24" s="306">
        <f>'Voederbieten huidig'!C23</f>
        <v>250</v>
      </c>
      <c r="D24" s="105">
        <f>IF('Voederbieten huidig'!D23=0,'Voederbieten huidig'!C23,'Voederbieten huidig'!D23)</f>
        <v>250</v>
      </c>
      <c r="E24" s="308">
        <f>IF(E21=0,C21,E21)+IF(E22=0,C22,E22)+IF(E23=0,C23,E23)</f>
        <v>250</v>
      </c>
    </row>
    <row r="25" spans="2:7" x14ac:dyDescent="0.3">
      <c r="B25" s="200"/>
      <c r="C25" s="200"/>
      <c r="D25" s="302"/>
      <c r="E25" s="200"/>
    </row>
    <row r="26" spans="2:7" x14ac:dyDescent="0.3">
      <c r="B26" s="193" t="str">
        <f>'Voederbieten huidig'!B25</f>
        <v>Gewasbescherming</v>
      </c>
      <c r="C26" s="193"/>
      <c r="D26" s="305"/>
      <c r="E26" s="193"/>
    </row>
    <row r="27" spans="2:7" x14ac:dyDescent="0.3">
      <c r="B27" s="11" t="str">
        <f>'Voederbieten huidig'!B26</f>
        <v>Spuiten</v>
      </c>
      <c r="C27" s="48">
        <f>'Voederbieten huidig'!C26</f>
        <v>200</v>
      </c>
      <c r="D27" s="103">
        <f>IF('Voederbieten huidig'!D26=0,'Voederbieten huidig'!C26,'Voederbieten huidig'!D26)</f>
        <v>200</v>
      </c>
      <c r="E27" s="285"/>
    </row>
    <row r="28" spans="2:7" x14ac:dyDescent="0.3">
      <c r="B28" s="11" t="str">
        <f>'Voederbieten huidig'!B27</f>
        <v>Gewasbeschermingsmiddelen</v>
      </c>
      <c r="C28" s="48">
        <f>'Voederbieten huidig'!C27</f>
        <v>436</v>
      </c>
      <c r="D28" s="103">
        <f>IF('Voederbieten huidig'!D27=0,'Voederbieten huidig'!C27,'Voederbieten huidig'!D27)</f>
        <v>436</v>
      </c>
      <c r="E28" s="285"/>
    </row>
    <row r="29" spans="2:7" x14ac:dyDescent="0.3">
      <c r="B29" s="224" t="str">
        <f>'Voederbieten huidig'!B28</f>
        <v>Kosten per jaar</v>
      </c>
      <c r="C29" s="306">
        <f>'Voederbieten huidig'!C28</f>
        <v>636</v>
      </c>
      <c r="D29" s="105">
        <f>IF('Voederbieten huidig'!D28=0,'Voederbieten huidig'!C28,'Voederbieten huidig'!D28)</f>
        <v>636</v>
      </c>
      <c r="E29" s="308">
        <f>IF(E27=0,C27,E27)+IF(E28=0,C28,E28)</f>
        <v>636</v>
      </c>
    </row>
    <row r="30" spans="2:7" x14ac:dyDescent="0.3">
      <c r="B30" s="200"/>
      <c r="C30" s="200"/>
      <c r="D30" s="302"/>
      <c r="E30" s="200"/>
    </row>
    <row r="31" spans="2:7" x14ac:dyDescent="0.3">
      <c r="B31" s="193" t="str">
        <f>'Voederbieten huidig'!B30</f>
        <v>Oogsten</v>
      </c>
      <c r="C31" s="193"/>
      <c r="D31" s="305"/>
      <c r="E31" s="193"/>
    </row>
    <row r="32" spans="2:7" x14ac:dyDescent="0.3">
      <c r="B32" s="11" t="str">
        <f>'Voederbieten huidig'!B31</f>
        <v>Oogsten</v>
      </c>
      <c r="C32" s="48">
        <f>'Voederbieten huidig'!C31</f>
        <v>400</v>
      </c>
      <c r="D32" s="103">
        <f>IF('Voederbieten huidig'!D31=0,'Voederbieten huidig'!C31,'Voederbieten huidig'!D31)</f>
        <v>400</v>
      </c>
      <c r="E32" s="285"/>
      <c r="G32" t="s">
        <v>55</v>
      </c>
    </row>
    <row r="33" spans="2:5" x14ac:dyDescent="0.3">
      <c r="B33" s="11" t="str">
        <f>'Voederbieten huidig'!B32</f>
        <v>Toevoegmiddelen</v>
      </c>
      <c r="C33" s="48">
        <f>'Voederbieten huidig'!C32</f>
        <v>0</v>
      </c>
      <c r="D33" s="103">
        <f>IF('Voederbieten huidig'!D32=0,'Voederbieten huidig'!C32,'Voederbieten huidig'!D32)</f>
        <v>0</v>
      </c>
      <c r="E33" s="285"/>
    </row>
    <row r="34" spans="2:5" x14ac:dyDescent="0.3">
      <c r="B34" s="224" t="str">
        <f>'Voederbieten huidig'!B33</f>
        <v>Kosten per jaar</v>
      </c>
      <c r="C34" s="306">
        <f>'Voederbieten huidig'!C33</f>
        <v>400</v>
      </c>
      <c r="D34" s="105">
        <f>IF('Voederbieten huidig'!D33=0,'Voederbieten huidig'!C33,'Voederbieten huidig'!D33)</f>
        <v>400</v>
      </c>
      <c r="E34" s="308">
        <f>IF(E32=0,C32,E32)+IF(E33=0,C33,E33)</f>
        <v>400</v>
      </c>
    </row>
    <row r="35" spans="2:5" x14ac:dyDescent="0.3">
      <c r="B35" s="200"/>
      <c r="C35" s="200"/>
      <c r="D35" s="302"/>
      <c r="E35" s="200"/>
    </row>
    <row r="36" spans="2:5" x14ac:dyDescent="0.3">
      <c r="B36" s="11" t="str">
        <f>'Voederbieten huidig'!B35</f>
        <v>Kosten per Ha</v>
      </c>
      <c r="C36" s="48">
        <f>'Voederbieten huidig'!C35</f>
        <v>1858</v>
      </c>
      <c r="D36" s="103">
        <f>IF('Voederbieten huidig'!D35=0,'Voederbieten huidig'!C35,'Voederbieten huidig'!D35)</f>
        <v>1858</v>
      </c>
      <c r="E36" s="48">
        <f>E34+E29+E24+E18</f>
        <v>1858</v>
      </c>
    </row>
    <row r="37" spans="2:5" x14ac:dyDescent="0.3">
      <c r="B37" s="11" t="str">
        <f>'Voederbieten huidig'!B36</f>
        <v>Kosten per KG DS</v>
      </c>
      <c r="C37" s="47">
        <f>'Voederbieten huidig'!C36</f>
        <v>0.10929411764705882</v>
      </c>
      <c r="D37" s="102">
        <f>IF('Voederbieten huidig'!D36=0,'Voederbieten huidig'!C36,'Voederbieten huidig'!D36)</f>
        <v>0.10929411764705882</v>
      </c>
      <c r="E37" s="47">
        <f>IF(E10=0,E36/C10,E36/E10)</f>
        <v>0.10929411764705882</v>
      </c>
    </row>
    <row r="38" spans="2:5" x14ac:dyDescent="0.3">
      <c r="B38" s="11" t="str">
        <f>'Voederbieten huidig'!B37</f>
        <v>Kosten per kVEM</v>
      </c>
      <c r="C38" s="47">
        <f>'Voederbieten huidig'!C37</f>
        <v>9.9358288770053482E-2</v>
      </c>
      <c r="D38" s="102">
        <f>IF('Voederbieten huidig'!D37=0,'Voederbieten huidig'!C37,'Voederbieten huidig'!D37)</f>
        <v>9.9358288770053482E-2</v>
      </c>
      <c r="E38" s="47">
        <f>IF(E10=0,IF(E11=0,E36/(C10*C11),E36/(C10*E11)),IF(E11=0,E36/(E10*C11),E36/(E10*E11)))*1000</f>
        <v>9.9358288770053482E-2</v>
      </c>
    </row>
  </sheetData>
  <sheetProtection sheet="1" objects="1" scenarios="1" selectLockedCells="1"/>
  <mergeCells count="1">
    <mergeCell ref="B2:E3"/>
  </mergeCells>
  <conditionalFormatting sqref="D10:D12 D15:D38">
    <cfRule type="expression" dxfId="27" priority="118">
      <formula>$B$5=2</formula>
    </cfRule>
  </conditionalFormatting>
  <conditionalFormatting sqref="E10:E12 E15:E38">
    <cfRule type="expression" dxfId="26" priority="120">
      <formula>$B$5&lt;3</formula>
    </cfRule>
  </conditionalFormatting>
  <conditionalFormatting sqref="E14 E9">
    <cfRule type="expression" dxfId="25" priority="2">
      <formula>$B$5=3</formula>
    </cfRule>
  </conditionalFormatting>
  <conditionalFormatting sqref="D9 D14 D18 D20 D24 D26 D29 D31 D34">
    <cfRule type="expression" dxfId="24" priority="1">
      <formula>$B$5=2</formula>
    </cfRule>
  </conditionalFormatting>
  <dataValidations count="1">
    <dataValidation type="decimal" operator="greaterThanOrEqual" allowBlank="1" showInputMessage="1" showErrorMessage="1" errorTitle="Fout" error="Typ een getal groter of gelijk aan 0." sqref="E10:E12 E15:E17 E21:E23 E27 E28 E32 E33" xr:uid="{1D8405A6-3071-43E2-AC2C-5EA73A2B72E7}">
      <formula1>0</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5841" r:id="rId4" name="Option Button 1">
              <controlPr defaultSize="0" autoFill="0" autoLine="0" autoPict="0">
                <anchor moveWithCells="1">
                  <from>
                    <xdr:col>1</xdr:col>
                    <xdr:colOff>0</xdr:colOff>
                    <xdr:row>4</xdr:row>
                    <xdr:rowOff>0</xdr:rowOff>
                  </from>
                  <to>
                    <xdr:col>2</xdr:col>
                    <xdr:colOff>0</xdr:colOff>
                    <xdr:row>5</xdr:row>
                    <xdr:rowOff>0</xdr:rowOff>
                  </to>
                </anchor>
              </controlPr>
            </control>
          </mc:Choice>
        </mc:AlternateContent>
        <mc:AlternateContent xmlns:mc="http://schemas.openxmlformats.org/markup-compatibility/2006">
          <mc:Choice Requires="x14">
            <control shapeId="35842" r:id="rId5" name="Option Button 2">
              <controlPr defaultSize="0" autoFill="0" autoLine="0" autoPict="0">
                <anchor moveWithCells="1">
                  <from>
                    <xdr:col>1</xdr:col>
                    <xdr:colOff>0</xdr:colOff>
                    <xdr:row>4</xdr:row>
                    <xdr:rowOff>182880</xdr:rowOff>
                  </from>
                  <to>
                    <xdr:col>2</xdr:col>
                    <xdr:colOff>0</xdr:colOff>
                    <xdr:row>6</xdr:row>
                    <xdr:rowOff>7620</xdr:rowOff>
                  </to>
                </anchor>
              </controlPr>
            </control>
          </mc:Choice>
        </mc:AlternateContent>
        <mc:AlternateContent xmlns:mc="http://schemas.openxmlformats.org/markup-compatibility/2006">
          <mc:Choice Requires="x14">
            <control shapeId="35843" r:id="rId6" name="Option Button 3">
              <controlPr defaultSize="0" autoFill="0" autoLine="0" autoPict="0">
                <anchor moveWithCells="1">
                  <from>
                    <xdr:col>1</xdr:col>
                    <xdr:colOff>0</xdr:colOff>
                    <xdr:row>5</xdr:row>
                    <xdr:rowOff>182880</xdr:rowOff>
                  </from>
                  <to>
                    <xdr:col>2</xdr:col>
                    <xdr:colOff>0</xdr:colOff>
                    <xdr:row>7</xdr:row>
                    <xdr:rowOff>7620</xdr:rowOff>
                  </to>
                </anchor>
              </controlPr>
            </control>
          </mc:Choice>
        </mc:AlternateContent>
      </controls>
    </mc:Choice>
  </mc:AlternateContent>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8B111-3964-40A8-9D94-E06B2FDA37B9}">
  <sheetPr codeName="Blad29">
    <tabColor theme="8" tint="0.59999389629810485"/>
  </sheetPr>
  <dimension ref="B2:G38"/>
  <sheetViews>
    <sheetView showGridLines="0" zoomScale="80" zoomScaleNormal="80" workbookViewId="0">
      <selection activeCell="E33" activeCellId="8" sqref="E10:E12 E15:E16 E17 E21:E22 E23 E27 E28 E32 E33"/>
    </sheetView>
  </sheetViews>
  <sheetFormatPr defaultRowHeight="14.4" x14ac:dyDescent="0.3"/>
  <cols>
    <col min="1" max="1" width="2.77734375" customWidth="1"/>
    <col min="2" max="2" width="30.5546875" customWidth="1"/>
    <col min="3" max="5" width="16.77734375" customWidth="1"/>
    <col min="6" max="6" width="2.6640625" customWidth="1"/>
  </cols>
  <sheetData>
    <row r="2" spans="2:6" x14ac:dyDescent="0.3">
      <c r="B2" s="456" t="s">
        <v>216</v>
      </c>
      <c r="C2" s="456"/>
      <c r="D2" s="456"/>
      <c r="E2" s="456"/>
    </row>
    <row r="3" spans="2:6" x14ac:dyDescent="0.3">
      <c r="B3" s="456"/>
      <c r="C3" s="456"/>
      <c r="D3" s="456"/>
      <c r="E3" s="456"/>
    </row>
    <row r="5" spans="2:6" x14ac:dyDescent="0.3">
      <c r="B5" s="277">
        <v>1</v>
      </c>
    </row>
    <row r="6" spans="2:6" x14ac:dyDescent="0.3">
      <c r="B6" s="240"/>
    </row>
    <row r="7" spans="2:6" x14ac:dyDescent="0.3">
      <c r="B7" s="240"/>
    </row>
    <row r="9" spans="2:6" x14ac:dyDescent="0.3">
      <c r="B9" s="193"/>
      <c r="C9" s="193" t="str">
        <f>'Sorghum huidig'!C8</f>
        <v>Gem. opbrengst</v>
      </c>
      <c r="D9" s="228" t="s">
        <v>133</v>
      </c>
      <c r="E9" s="228" t="s">
        <v>102</v>
      </c>
    </row>
    <row r="10" spans="2:6" x14ac:dyDescent="0.3">
      <c r="B10" s="11" t="str">
        <f>'Sorghum huidig'!B9</f>
        <v>Opbrengst in KG DS</v>
      </c>
      <c r="C10" s="44">
        <f>'Sorghum huidig'!C9</f>
        <v>11500</v>
      </c>
      <c r="D10" s="68">
        <f>IF('Sorghum huidig'!D9=0,'Sorghum huidig'!C9,'Sorghum huidig'!D9)</f>
        <v>11500</v>
      </c>
      <c r="E10" s="287"/>
    </row>
    <row r="11" spans="2:6" x14ac:dyDescent="0.3">
      <c r="B11" s="11" t="str">
        <f>'Sorghum huidig'!B10</f>
        <v>VEM per KG DS</v>
      </c>
      <c r="C11" s="11">
        <f>'Sorghum huidig'!C10</f>
        <v>869</v>
      </c>
      <c r="D11" s="23">
        <f>IF('Sorghum huidig'!D10=0,'Sorghum huidig'!C10,'Sorghum huidig'!D10)</f>
        <v>869</v>
      </c>
      <c r="E11" s="280"/>
    </row>
    <row r="12" spans="2:6" x14ac:dyDescent="0.3">
      <c r="B12" s="11" t="str">
        <f>'Sorghum huidig'!B11</f>
        <v>DVE per KG DS</v>
      </c>
      <c r="C12" s="11">
        <f>'Sorghum huidig'!C11</f>
        <v>67</v>
      </c>
      <c r="D12" s="23">
        <f>IF('Sorghum huidig'!D11=0,'Sorghum huidig'!C11,'Sorghum huidig'!D11)</f>
        <v>67</v>
      </c>
      <c r="E12" s="280"/>
    </row>
    <row r="13" spans="2:6" x14ac:dyDescent="0.3">
      <c r="B13" s="200"/>
      <c r="C13" s="200"/>
      <c r="D13" s="200"/>
      <c r="E13" s="200"/>
    </row>
    <row r="14" spans="2:6" x14ac:dyDescent="0.3">
      <c r="B14" s="193" t="str">
        <f>'Sorghum huidig'!B13</f>
        <v>Inzaaien</v>
      </c>
      <c r="C14" s="193" t="str">
        <f>'Sorghum huidig'!C13</f>
        <v>Gem. kosten</v>
      </c>
      <c r="D14" s="228" t="s">
        <v>133</v>
      </c>
      <c r="E14" s="228" t="s">
        <v>102</v>
      </c>
    </row>
    <row r="15" spans="2:6" x14ac:dyDescent="0.3">
      <c r="B15" s="11" t="str">
        <f>'Sorghum huidig'!B14</f>
        <v>Ploegen/zaaiklaar maken</v>
      </c>
      <c r="C15" s="48">
        <f>'Sorghum huidig'!C14</f>
        <v>197</v>
      </c>
      <c r="D15" s="103">
        <f>IF('Sorghum huidig'!D14=0,'Sorghum huidig'!C14,'Sorghum huidig'!D14)</f>
        <v>197</v>
      </c>
      <c r="E15" s="285"/>
    </row>
    <row r="16" spans="2:6" x14ac:dyDescent="0.3">
      <c r="B16" s="11" t="str">
        <f>'Sorghum huidig'!B15</f>
        <v>Zaaien</v>
      </c>
      <c r="C16" s="48">
        <f>'Sorghum huidig'!C15</f>
        <v>80</v>
      </c>
      <c r="D16" s="103">
        <f>IF('Sorghum huidig'!D15=0,'Sorghum huidig'!C15,'Sorghum huidig'!D15)</f>
        <v>80</v>
      </c>
      <c r="E16" s="285"/>
    </row>
    <row r="17" spans="2:7" x14ac:dyDescent="0.3">
      <c r="B17" s="11" t="str">
        <f>'Sorghum huidig'!B16</f>
        <v>Zaaizaad</v>
      </c>
      <c r="C17" s="48">
        <f>'Sorghum huidig'!C16</f>
        <v>118</v>
      </c>
      <c r="D17" s="103">
        <f>IF('Sorghum huidig'!D16=0,'Sorghum huidig'!C16,'Sorghum huidig'!D16)</f>
        <v>118</v>
      </c>
      <c r="E17" s="285"/>
    </row>
    <row r="18" spans="2:7" x14ac:dyDescent="0.3">
      <c r="B18" s="224" t="str">
        <f>'Sorghum huidig'!B17</f>
        <v>Kosten per jaar</v>
      </c>
      <c r="C18" s="306">
        <f>'Sorghum huidig'!C17</f>
        <v>395</v>
      </c>
      <c r="D18" s="105">
        <f>IF('Sorghum huidig'!D17=0,'Sorghum huidig'!C17,'Sorghum huidig'!D17)</f>
        <v>395</v>
      </c>
      <c r="E18" s="308">
        <f>IF(E15=0,C15,E15)+IF(E16=0,C16,E16)+IF(E17=0,C17,E17)</f>
        <v>395</v>
      </c>
    </row>
    <row r="19" spans="2:7" x14ac:dyDescent="0.3">
      <c r="B19" s="200"/>
      <c r="C19" s="200"/>
      <c r="D19" s="302"/>
      <c r="E19" s="200"/>
    </row>
    <row r="20" spans="2:7" x14ac:dyDescent="0.3">
      <c r="B20" s="193" t="str">
        <f>'Sorghum huidig'!B19</f>
        <v>Bemesten</v>
      </c>
      <c r="C20" s="193"/>
      <c r="D20" s="305"/>
      <c r="E20" s="193"/>
    </row>
    <row r="21" spans="2:7" x14ac:dyDescent="0.3">
      <c r="B21" s="11" t="str">
        <f>'Sorghum huidig'!B20</f>
        <v>Dierlijke mest uitrijden</v>
      </c>
      <c r="C21" s="48">
        <f>'Sorghum huidig'!C20</f>
        <v>97</v>
      </c>
      <c r="D21" s="103">
        <f>IF('Sorghum huidig'!D20=0,'Sorghum huidig'!C20,'Sorghum huidig'!D20)</f>
        <v>97</v>
      </c>
      <c r="E21" s="285"/>
    </row>
    <row r="22" spans="2:7" x14ac:dyDescent="0.3">
      <c r="B22" s="11" t="str">
        <f>'Sorghum huidig'!B21</f>
        <v>Kunstmest aanvoer (of dergelijken)</v>
      </c>
      <c r="C22" s="48">
        <f>'Sorghum huidig'!C21</f>
        <v>31</v>
      </c>
      <c r="D22" s="103">
        <f>IF('Sorghum huidig'!D21=0,'Sorghum huidig'!C21,'Sorghum huidig'!D21)</f>
        <v>31</v>
      </c>
      <c r="E22" s="285"/>
    </row>
    <row r="23" spans="2:7" x14ac:dyDescent="0.3">
      <c r="B23" s="11" t="str">
        <f>'Sorghum huidig'!B22</f>
        <v>Kunstmest strooien</v>
      </c>
      <c r="C23" s="48">
        <f>'Sorghum huidig'!C22</f>
        <v>25</v>
      </c>
      <c r="D23" s="103">
        <f>IF('Sorghum huidig'!D22=0,'Sorghum huidig'!C22,'Sorghum huidig'!D22)</f>
        <v>25</v>
      </c>
      <c r="E23" s="285"/>
    </row>
    <row r="24" spans="2:7" x14ac:dyDescent="0.3">
      <c r="B24" s="224" t="str">
        <f>'Sorghum huidig'!B23</f>
        <v>Kosten per jaar</v>
      </c>
      <c r="C24" s="306">
        <f>'Sorghum huidig'!C23</f>
        <v>153</v>
      </c>
      <c r="D24" s="105">
        <f>IF('Sorghum huidig'!D23=0,'Sorghum huidig'!C23,'Sorghum huidig'!D23)</f>
        <v>153</v>
      </c>
      <c r="E24" s="308">
        <f>IF(E21=0,C21,E21)+IF(E22=0,C22,E22)+IF(E23=0,C23,E23)</f>
        <v>153</v>
      </c>
    </row>
    <row r="25" spans="2:7" x14ac:dyDescent="0.3">
      <c r="B25" s="200"/>
      <c r="C25" s="200"/>
      <c r="D25" s="302"/>
      <c r="E25" s="200"/>
    </row>
    <row r="26" spans="2:7" x14ac:dyDescent="0.3">
      <c r="B26" s="193" t="str">
        <f>'Sorghum huidig'!B25</f>
        <v>Gewasbescherming</v>
      </c>
      <c r="C26" s="193"/>
      <c r="D26" s="305"/>
      <c r="E26" s="193"/>
    </row>
    <row r="27" spans="2:7" x14ac:dyDescent="0.3">
      <c r="B27" s="11" t="str">
        <f>'Sorghum huidig'!B26</f>
        <v>Spuiten</v>
      </c>
      <c r="C27" s="48">
        <f>'Sorghum huidig'!C26</f>
        <v>40</v>
      </c>
      <c r="D27" s="103">
        <f>IF('Sorghum huidig'!D26=0,'Sorghum huidig'!C26,'Sorghum huidig'!D26)</f>
        <v>40</v>
      </c>
      <c r="E27" s="285"/>
    </row>
    <row r="28" spans="2:7" x14ac:dyDescent="0.3">
      <c r="B28" s="11" t="str">
        <f>'Sorghum huidig'!B27</f>
        <v>Gewasbeschermingsmiddelen</v>
      </c>
      <c r="C28" s="48">
        <f>'Sorghum huidig'!C27</f>
        <v>28</v>
      </c>
      <c r="D28" s="103">
        <f>IF('Sorghum huidig'!D27=0,'Sorghum huidig'!C27,'Sorghum huidig'!D27)</f>
        <v>28</v>
      </c>
      <c r="E28" s="285"/>
    </row>
    <row r="29" spans="2:7" x14ac:dyDescent="0.3">
      <c r="B29" s="224" t="str">
        <f>'Sorghum huidig'!B28</f>
        <v>Kosten per jaar</v>
      </c>
      <c r="C29" s="306">
        <f>'Sorghum huidig'!C28</f>
        <v>68</v>
      </c>
      <c r="D29" s="105">
        <f>IF('Sorghum huidig'!D28=0,'Sorghum huidig'!C28,'Sorghum huidig'!D28)</f>
        <v>68</v>
      </c>
      <c r="E29" s="308">
        <f>IF(E27=0,C27,E27)+IF(E28=0,C28,E28)</f>
        <v>68</v>
      </c>
    </row>
    <row r="30" spans="2:7" x14ac:dyDescent="0.3">
      <c r="B30" s="200"/>
      <c r="C30" s="200"/>
      <c r="D30" s="302"/>
      <c r="E30" s="200"/>
    </row>
    <row r="31" spans="2:7" x14ac:dyDescent="0.3">
      <c r="B31" s="193" t="str">
        <f>'Sorghum huidig'!B30</f>
        <v>Oogsten</v>
      </c>
      <c r="C31" s="193"/>
      <c r="D31" s="305"/>
      <c r="E31" s="193"/>
    </row>
    <row r="32" spans="2:7" x14ac:dyDescent="0.3">
      <c r="B32" s="11" t="str">
        <f>'Sorghum huidig'!B31</f>
        <v>Oogsten</v>
      </c>
      <c r="C32" s="48">
        <f>'Sorghum huidig'!C31</f>
        <v>420</v>
      </c>
      <c r="D32" s="103">
        <f>IF('Sorghum huidig'!D31=0,'Sorghum huidig'!C31,'Sorghum huidig'!D31)</f>
        <v>420</v>
      </c>
      <c r="E32" s="285"/>
      <c r="G32" t="s">
        <v>55</v>
      </c>
    </row>
    <row r="33" spans="2:5" x14ac:dyDescent="0.3">
      <c r="B33" s="11" t="str">
        <f>'Sorghum huidig'!B32</f>
        <v>Toevoegmiddelen</v>
      </c>
      <c r="C33" s="48">
        <f>'Sorghum huidig'!C32</f>
        <v>0</v>
      </c>
      <c r="D33" s="103">
        <f>IF('Sorghum huidig'!D32=0,'Sorghum huidig'!C32,'Sorghum huidig'!D32)</f>
        <v>0</v>
      </c>
      <c r="E33" s="285"/>
    </row>
    <row r="34" spans="2:5" x14ac:dyDescent="0.3">
      <c r="B34" s="224" t="str">
        <f>'Sorghum huidig'!B33</f>
        <v>Kosten per jaar</v>
      </c>
      <c r="C34" s="306">
        <f>'Sorghum huidig'!C33</f>
        <v>420</v>
      </c>
      <c r="D34" s="105">
        <f>IF('Sorghum huidig'!D33=0,'Sorghum huidig'!C33,'Sorghum huidig'!D33)</f>
        <v>420</v>
      </c>
      <c r="E34" s="308">
        <f>IF(E32=0,C32,E32)+IF(E33=0,C33,E33)</f>
        <v>420</v>
      </c>
    </row>
    <row r="35" spans="2:5" x14ac:dyDescent="0.3">
      <c r="B35" s="200"/>
      <c r="C35" s="200"/>
      <c r="D35" s="302"/>
      <c r="E35" s="200"/>
    </row>
    <row r="36" spans="2:5" x14ac:dyDescent="0.3">
      <c r="B36" s="11" t="str">
        <f>'Sorghum huidig'!B35</f>
        <v>Kosten per Ha</v>
      </c>
      <c r="C36" s="48">
        <f>'Sorghum huidig'!C35</f>
        <v>1036</v>
      </c>
      <c r="D36" s="103">
        <f>IF('Sorghum huidig'!D35=0,'Sorghum huidig'!C35,'Sorghum huidig'!D35)</f>
        <v>1036</v>
      </c>
      <c r="E36" s="48">
        <f>E34+E29+E24+E18</f>
        <v>1036</v>
      </c>
    </row>
    <row r="37" spans="2:5" x14ac:dyDescent="0.3">
      <c r="B37" s="11" t="str">
        <f>'Sorghum huidig'!B36</f>
        <v>Kosten per KG DS</v>
      </c>
      <c r="C37" s="47">
        <f>'Sorghum huidig'!C36</f>
        <v>9.0086956521739134E-2</v>
      </c>
      <c r="D37" s="102">
        <f>IF('Sorghum huidig'!D36=0,'Sorghum huidig'!C36,'Sorghum huidig'!D36)</f>
        <v>9.0086956521739134E-2</v>
      </c>
      <c r="E37" s="47">
        <f>IF(E10=0,E36/C10,E36/E10)</f>
        <v>9.0086956521739134E-2</v>
      </c>
    </row>
    <row r="38" spans="2:5" x14ac:dyDescent="0.3">
      <c r="B38" s="11" t="str">
        <f>'Sorghum huidig'!B37</f>
        <v>Kosten per kVEM</v>
      </c>
      <c r="C38" s="47">
        <f>'Sorghum huidig'!C37</f>
        <v>0.10366738379946966</v>
      </c>
      <c r="D38" s="102">
        <f>IF('Sorghum huidig'!D37=0,'Sorghum huidig'!C37,'Sorghum huidig'!D37)</f>
        <v>0.10366738379946966</v>
      </c>
      <c r="E38" s="47">
        <f>IF(E10=0,IF(E11=0,E36/(C10*C11),E36/(C10*E11)),IF(E11=0,E36/(E10*C11),E36/(E10*E11)))*1000</f>
        <v>0.10366738379946966</v>
      </c>
    </row>
  </sheetData>
  <sheetProtection sheet="1" objects="1" scenarios="1" selectLockedCells="1"/>
  <mergeCells count="1">
    <mergeCell ref="B2:E3"/>
  </mergeCells>
  <conditionalFormatting sqref="D15:D38 D10:D12">
    <cfRule type="expression" dxfId="23" priority="121">
      <formula>$B$5=2</formula>
    </cfRule>
  </conditionalFormatting>
  <conditionalFormatting sqref="E10:E12 E15:E38">
    <cfRule type="expression" dxfId="22" priority="123">
      <formula>$B$5&lt;3</formula>
    </cfRule>
  </conditionalFormatting>
  <conditionalFormatting sqref="D34 D31 D29 D26 D24 D20 D18 D14 D9">
    <cfRule type="expression" dxfId="21" priority="2">
      <formula>$B$5=2</formula>
    </cfRule>
  </conditionalFormatting>
  <conditionalFormatting sqref="E9 E14">
    <cfRule type="expression" dxfId="20" priority="1">
      <formula>$B$5=3</formula>
    </cfRule>
  </conditionalFormatting>
  <dataValidations count="1">
    <dataValidation type="decimal" operator="greaterThanOrEqual" allowBlank="1" showInputMessage="1" showErrorMessage="1" errorTitle="Fout" error="Typ een getal groter of gelijk aan 0." sqref="E10:E12 E15:E16 E17 E21:E22 E23 E27 E28 E32 E33" xr:uid="{663C170F-17F0-43B2-A3C1-7FD55D583936}">
      <formula1>0</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6865" r:id="rId4" name="Option Button 1">
              <controlPr defaultSize="0" autoFill="0" autoLine="0" autoPict="0">
                <anchor moveWithCells="1">
                  <from>
                    <xdr:col>1</xdr:col>
                    <xdr:colOff>0</xdr:colOff>
                    <xdr:row>4</xdr:row>
                    <xdr:rowOff>0</xdr:rowOff>
                  </from>
                  <to>
                    <xdr:col>2</xdr:col>
                    <xdr:colOff>0</xdr:colOff>
                    <xdr:row>5</xdr:row>
                    <xdr:rowOff>0</xdr:rowOff>
                  </to>
                </anchor>
              </controlPr>
            </control>
          </mc:Choice>
        </mc:AlternateContent>
        <mc:AlternateContent xmlns:mc="http://schemas.openxmlformats.org/markup-compatibility/2006">
          <mc:Choice Requires="x14">
            <control shapeId="36866" r:id="rId5" name="Option Button 2">
              <controlPr defaultSize="0" autoFill="0" autoLine="0" autoPict="0">
                <anchor moveWithCells="1">
                  <from>
                    <xdr:col>1</xdr:col>
                    <xdr:colOff>0</xdr:colOff>
                    <xdr:row>4</xdr:row>
                    <xdr:rowOff>182880</xdr:rowOff>
                  </from>
                  <to>
                    <xdr:col>2</xdr:col>
                    <xdr:colOff>0</xdr:colOff>
                    <xdr:row>6</xdr:row>
                    <xdr:rowOff>7620</xdr:rowOff>
                  </to>
                </anchor>
              </controlPr>
            </control>
          </mc:Choice>
        </mc:AlternateContent>
        <mc:AlternateContent xmlns:mc="http://schemas.openxmlformats.org/markup-compatibility/2006">
          <mc:Choice Requires="x14">
            <control shapeId="36867" r:id="rId6" name="Option Button 3">
              <controlPr defaultSize="0" autoFill="0" autoLine="0" autoPict="0">
                <anchor moveWithCells="1">
                  <from>
                    <xdr:col>1</xdr:col>
                    <xdr:colOff>0</xdr:colOff>
                    <xdr:row>5</xdr:row>
                    <xdr:rowOff>182880</xdr:rowOff>
                  </from>
                  <to>
                    <xdr:col>2</xdr:col>
                    <xdr:colOff>0</xdr:colOff>
                    <xdr:row>7</xdr:row>
                    <xdr:rowOff>7620</xdr:rowOff>
                  </to>
                </anchor>
              </controlPr>
            </control>
          </mc:Choice>
        </mc:AlternateContent>
      </controls>
    </mc:Choice>
  </mc:AlternateConten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67F2E4-219C-489D-9571-E2C57A8FA34A}">
  <sheetPr codeName="Blad42">
    <tabColor theme="8" tint="0.59999389629810485"/>
  </sheetPr>
  <dimension ref="B2:E36"/>
  <sheetViews>
    <sheetView showGridLines="0" zoomScale="80" zoomScaleNormal="80" workbookViewId="0">
      <selection activeCell="C31" activeCellId="6" sqref="C8:C10 C13:C15 C19:C21 C25 C26 C30 C31"/>
    </sheetView>
  </sheetViews>
  <sheetFormatPr defaultRowHeight="14.4" x14ac:dyDescent="0.3"/>
  <cols>
    <col min="1" max="1" width="2.77734375" customWidth="1"/>
    <col min="2" max="2" width="30.5546875" customWidth="1"/>
    <col min="3" max="3" width="16.77734375" customWidth="1"/>
    <col min="4" max="4" width="2.6640625" customWidth="1"/>
  </cols>
  <sheetData>
    <row r="2" spans="2:3" x14ac:dyDescent="0.3">
      <c r="B2" s="456" t="s">
        <v>245</v>
      </c>
      <c r="C2" s="456"/>
    </row>
    <row r="3" spans="2:3" x14ac:dyDescent="0.3">
      <c r="B3" s="456"/>
      <c r="C3" s="456"/>
    </row>
    <row r="5" spans="2:3" x14ac:dyDescent="0.3">
      <c r="B5" s="11" t="s">
        <v>242</v>
      </c>
      <c r="C5" s="280"/>
    </row>
    <row r="7" spans="2:3" x14ac:dyDescent="0.3">
      <c r="B7" s="193"/>
      <c r="C7" s="220" t="s">
        <v>102</v>
      </c>
    </row>
    <row r="8" spans="2:3" x14ac:dyDescent="0.3">
      <c r="B8" s="11" t="s">
        <v>103</v>
      </c>
      <c r="C8" s="296"/>
    </row>
    <row r="9" spans="2:3" x14ac:dyDescent="0.3">
      <c r="B9" s="11" t="s">
        <v>104</v>
      </c>
      <c r="C9" s="296"/>
    </row>
    <row r="10" spans="2:3" x14ac:dyDescent="0.3">
      <c r="B10" s="11" t="s">
        <v>105</v>
      </c>
      <c r="C10" s="296"/>
    </row>
    <row r="12" spans="2:3" x14ac:dyDescent="0.3">
      <c r="B12" s="193" t="s">
        <v>127</v>
      </c>
      <c r="C12" s="261" t="s">
        <v>102</v>
      </c>
    </row>
    <row r="13" spans="2:3" x14ac:dyDescent="0.3">
      <c r="B13" s="11" t="s">
        <v>129</v>
      </c>
      <c r="C13" s="285"/>
    </row>
    <row r="14" spans="2:3" x14ac:dyDescent="0.3">
      <c r="B14" s="11" t="s">
        <v>110</v>
      </c>
      <c r="C14" s="285"/>
    </row>
    <row r="15" spans="2:3" x14ac:dyDescent="0.3">
      <c r="B15" s="11" t="s">
        <v>111</v>
      </c>
      <c r="C15" s="285"/>
    </row>
    <row r="16" spans="2:3" x14ac:dyDescent="0.3">
      <c r="B16" s="193" t="s">
        <v>113</v>
      </c>
      <c r="C16" s="195">
        <f>SUM(C13:C15)</f>
        <v>0</v>
      </c>
    </row>
    <row r="18" spans="2:5" x14ac:dyDescent="0.3">
      <c r="B18" s="193" t="s">
        <v>114</v>
      </c>
      <c r="C18" s="193"/>
    </row>
    <row r="19" spans="2:5" x14ac:dyDescent="0.3">
      <c r="B19" s="11" t="s">
        <v>115</v>
      </c>
      <c r="C19" s="285"/>
    </row>
    <row r="20" spans="2:5" x14ac:dyDescent="0.3">
      <c r="B20" s="11" t="s">
        <v>116</v>
      </c>
      <c r="C20" s="285"/>
    </row>
    <row r="21" spans="2:5" x14ac:dyDescent="0.3">
      <c r="B21" s="11" t="s">
        <v>117</v>
      </c>
      <c r="C21" s="285"/>
    </row>
    <row r="22" spans="2:5" x14ac:dyDescent="0.3">
      <c r="B22" s="193" t="s">
        <v>113</v>
      </c>
      <c r="C22" s="195">
        <f>SUM(C19:C21)</f>
        <v>0</v>
      </c>
    </row>
    <row r="24" spans="2:5" x14ac:dyDescent="0.3">
      <c r="B24" s="193" t="s">
        <v>118</v>
      </c>
      <c r="C24" s="193"/>
    </row>
    <row r="25" spans="2:5" x14ac:dyDescent="0.3">
      <c r="B25" s="11" t="s">
        <v>130</v>
      </c>
      <c r="C25" s="285"/>
    </row>
    <row r="26" spans="2:5" x14ac:dyDescent="0.3">
      <c r="B26" s="11" t="s">
        <v>131</v>
      </c>
      <c r="C26" s="285"/>
    </row>
    <row r="27" spans="2:5" x14ac:dyDescent="0.3">
      <c r="B27" s="193" t="s">
        <v>113</v>
      </c>
      <c r="C27" s="195">
        <f>SUM(C25:C26)</f>
        <v>0</v>
      </c>
    </row>
    <row r="29" spans="2:5" x14ac:dyDescent="0.3">
      <c r="B29" s="193" t="s">
        <v>121</v>
      </c>
      <c r="C29" s="193"/>
    </row>
    <row r="30" spans="2:5" x14ac:dyDescent="0.3">
      <c r="B30" s="11" t="s">
        <v>121</v>
      </c>
      <c r="C30" s="285"/>
      <c r="E30" t="s">
        <v>55</v>
      </c>
    </row>
    <row r="31" spans="2:5" x14ac:dyDescent="0.3">
      <c r="B31" s="11" t="s">
        <v>124</v>
      </c>
      <c r="C31" s="285"/>
    </row>
    <row r="32" spans="2:5" x14ac:dyDescent="0.3">
      <c r="B32" s="193" t="s">
        <v>113</v>
      </c>
      <c r="C32" s="195">
        <f>SUM(C30:C31)</f>
        <v>0</v>
      </c>
    </row>
    <row r="34" spans="2:3" x14ac:dyDescent="0.3">
      <c r="B34" s="11" t="s">
        <v>7</v>
      </c>
      <c r="C34" s="48">
        <f>C32+C27+C22+C16</f>
        <v>0</v>
      </c>
    </row>
    <row r="35" spans="2:3" x14ac:dyDescent="0.3">
      <c r="B35" s="11" t="s">
        <v>125</v>
      </c>
      <c r="C35" s="47">
        <f>IF(C8=0,0,C34/C8)</f>
        <v>0</v>
      </c>
    </row>
    <row r="36" spans="2:3" x14ac:dyDescent="0.3">
      <c r="B36" s="11" t="s">
        <v>126</v>
      </c>
      <c r="C36" s="47">
        <f>IF(C9=0,0,IF(C8=0,0,C34/(C8*C9)*1000))</f>
        <v>0</v>
      </c>
    </row>
  </sheetData>
  <sheetProtection sheet="1" objects="1" scenarios="1" selectLockedCells="1"/>
  <mergeCells count="1">
    <mergeCell ref="B2:C3"/>
  </mergeCells>
  <conditionalFormatting sqref="C7:C36">
    <cfRule type="expression" dxfId="19" priority="1">
      <formula>#REF!=1</formula>
    </cfRule>
  </conditionalFormatting>
  <conditionalFormatting sqref="C13:C36 C8:C10">
    <cfRule type="expression" dxfId="18" priority="2">
      <formula>#REF!=1</formula>
    </cfRule>
  </conditionalFormatting>
  <dataValidations count="1">
    <dataValidation type="decimal" operator="greaterThanOrEqual" allowBlank="1" showInputMessage="1" showErrorMessage="1" errorTitle="Fout" error="Typ een getal groter of gelijk aan 0." sqref="C8:C10 C13:C15 C19:C21 C25 C26 C30 C31" xr:uid="{483F68F6-583A-4042-8C64-7AEEFEB92851}">
      <formula1>0</formula1>
    </dataValidation>
  </dataValidations>
  <pageMargins left="0.7" right="0.7" top="0.75" bottom="0.75" header="0.3" footer="0.3"/>
  <pageSetup paperSize="9" orientation="portrait" r:id="rId1"/>
  <drawing r:id="rId2"/>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C3BE0B-C4CB-4AEA-89EC-BC1BDAC61583}">
  <sheetPr codeName="Blad30">
    <tabColor theme="8" tint="0.59999389629810485"/>
  </sheetPr>
  <dimension ref="B2:G38"/>
  <sheetViews>
    <sheetView showGridLines="0" zoomScale="80" zoomScaleNormal="80" workbookViewId="0">
      <selection activeCell="E33" activeCellId="6" sqref="E10:E12 E15:E17 E21:E23 E28 E27 E32 E33"/>
    </sheetView>
  </sheetViews>
  <sheetFormatPr defaultRowHeight="14.4" x14ac:dyDescent="0.3"/>
  <cols>
    <col min="1" max="1" width="2.77734375" customWidth="1"/>
    <col min="2" max="2" width="30.5546875" customWidth="1"/>
    <col min="3" max="5" width="16.77734375" customWidth="1"/>
    <col min="6" max="6" width="2.6640625" customWidth="1"/>
  </cols>
  <sheetData>
    <row r="2" spans="2:6" x14ac:dyDescent="0.3">
      <c r="B2" s="456" t="s">
        <v>215</v>
      </c>
      <c r="C2" s="456"/>
      <c r="D2" s="456"/>
      <c r="E2" s="456"/>
    </row>
    <row r="3" spans="2:6" x14ac:dyDescent="0.3">
      <c r="B3" s="456"/>
      <c r="C3" s="456"/>
      <c r="D3" s="456"/>
      <c r="E3" s="456"/>
    </row>
    <row r="5" spans="2:6" x14ac:dyDescent="0.3">
      <c r="B5" s="277">
        <v>1</v>
      </c>
    </row>
    <row r="6" spans="2:6" x14ac:dyDescent="0.3">
      <c r="B6" s="240"/>
    </row>
    <row r="7" spans="2:6" x14ac:dyDescent="0.3">
      <c r="B7" s="240"/>
    </row>
    <row r="9" spans="2:6" x14ac:dyDescent="0.3">
      <c r="B9" s="193"/>
      <c r="C9" s="193" t="str">
        <f>'Veldbonen huidig'!C8</f>
        <v>Gem. opbrengst</v>
      </c>
      <c r="D9" s="228" t="s">
        <v>133</v>
      </c>
      <c r="E9" s="228" t="s">
        <v>102</v>
      </c>
    </row>
    <row r="10" spans="2:6" x14ac:dyDescent="0.3">
      <c r="B10" s="11" t="str">
        <f>'Veldbonen huidig'!B9</f>
        <v>Opbrengst in KG DS</v>
      </c>
      <c r="C10" s="44">
        <f>'Veldbonen huidig'!C9</f>
        <v>5750</v>
      </c>
      <c r="D10" s="68">
        <f>IF('Veldbonen huidig'!D9=0,'Veldbonen huidig'!C9,'Veldbonen huidig'!D9)</f>
        <v>5750</v>
      </c>
      <c r="E10" s="287"/>
    </row>
    <row r="11" spans="2:6" x14ac:dyDescent="0.3">
      <c r="B11" s="11" t="str">
        <f>'Veldbonen huidig'!B10</f>
        <v>VEM per KG DS</v>
      </c>
      <c r="C11" s="11">
        <f>'Veldbonen huidig'!C10</f>
        <v>1170</v>
      </c>
      <c r="D11" s="23">
        <f>IF('Veldbonen huidig'!D10=0,'Veldbonen huidig'!C10,'Veldbonen huidig'!D10)</f>
        <v>1170</v>
      </c>
      <c r="E11" s="280"/>
    </row>
    <row r="12" spans="2:6" x14ac:dyDescent="0.3">
      <c r="B12" s="11" t="str">
        <f>'Veldbonen huidig'!B11</f>
        <v>DVE per KG DS</v>
      </c>
      <c r="C12" s="11">
        <f>'Veldbonen huidig'!C11</f>
        <v>135</v>
      </c>
      <c r="D12" s="23">
        <f>IF('Veldbonen huidig'!D11=0,'Veldbonen huidig'!C11,'Veldbonen huidig'!D11)</f>
        <v>135</v>
      </c>
      <c r="E12" s="280"/>
    </row>
    <row r="13" spans="2:6" x14ac:dyDescent="0.3">
      <c r="B13" s="200"/>
      <c r="C13" s="200"/>
      <c r="D13" s="200"/>
      <c r="E13" s="200"/>
    </row>
    <row r="14" spans="2:6" x14ac:dyDescent="0.3">
      <c r="B14" s="193" t="str">
        <f>'Veldbonen huidig'!B13</f>
        <v>Inzaaien</v>
      </c>
      <c r="C14" s="193" t="str">
        <f>'Veldbonen huidig'!C13</f>
        <v>Gem. kosten</v>
      </c>
      <c r="D14" s="228" t="s">
        <v>133</v>
      </c>
      <c r="E14" s="228" t="s">
        <v>102</v>
      </c>
    </row>
    <row r="15" spans="2:6" x14ac:dyDescent="0.3">
      <c r="B15" s="11" t="str">
        <f>'Veldbonen huidig'!B14</f>
        <v>Ploegen/zaaiklaar maken</v>
      </c>
      <c r="C15" s="48">
        <f>'Veldbonen huidig'!C14</f>
        <v>197</v>
      </c>
      <c r="D15" s="103">
        <f>IF('Veldbonen huidig'!D14=0,'Veldbonen huidig'!C14,'Veldbonen huidig'!D14)</f>
        <v>197</v>
      </c>
      <c r="E15" s="285"/>
    </row>
    <row r="16" spans="2:6" x14ac:dyDescent="0.3">
      <c r="B16" s="11" t="str">
        <f>'Veldbonen huidig'!B15</f>
        <v>Zaaien</v>
      </c>
      <c r="C16" s="48">
        <f>'Veldbonen huidig'!C15</f>
        <v>55</v>
      </c>
      <c r="D16" s="103">
        <f>IF('Veldbonen huidig'!D15=0,'Veldbonen huidig'!C15,'Veldbonen huidig'!D15)</f>
        <v>55</v>
      </c>
      <c r="E16" s="285"/>
    </row>
    <row r="17" spans="2:7" x14ac:dyDescent="0.3">
      <c r="B17" s="11" t="str">
        <f>'Veldbonen huidig'!B16</f>
        <v>Zaaizaad</v>
      </c>
      <c r="C17" s="48">
        <f>'Veldbonen huidig'!C16</f>
        <v>116</v>
      </c>
      <c r="D17" s="103">
        <f>IF('Veldbonen huidig'!D16=0,'Veldbonen huidig'!C16,'Veldbonen huidig'!D16)</f>
        <v>116</v>
      </c>
      <c r="E17" s="285"/>
    </row>
    <row r="18" spans="2:7" x14ac:dyDescent="0.3">
      <c r="B18" s="224" t="str">
        <f>'Veldbonen huidig'!B17</f>
        <v>Kosten per jaar</v>
      </c>
      <c r="C18" s="306">
        <f>'Veldbonen huidig'!C17</f>
        <v>368</v>
      </c>
      <c r="D18" s="105">
        <f>IF('Veldbonen huidig'!D17=0,'Veldbonen huidig'!C17,'Veldbonen huidig'!D17)</f>
        <v>368</v>
      </c>
      <c r="E18" s="308">
        <f>IF(E15=0,C15,E15)+IF(E16=0,C16,E16)+IF(E17=0,C17,E17)</f>
        <v>368</v>
      </c>
    </row>
    <row r="19" spans="2:7" x14ac:dyDescent="0.3">
      <c r="B19" s="200"/>
      <c r="C19" s="200"/>
      <c r="D19" s="302"/>
      <c r="E19" s="200"/>
    </row>
    <row r="20" spans="2:7" x14ac:dyDescent="0.3">
      <c r="B20" s="193" t="str">
        <f>'Veldbonen huidig'!B19</f>
        <v>Bemesten</v>
      </c>
      <c r="C20" s="193"/>
      <c r="D20" s="305"/>
      <c r="E20" s="193"/>
    </row>
    <row r="21" spans="2:7" x14ac:dyDescent="0.3">
      <c r="B21" s="11" t="str">
        <f>'Veldbonen huidig'!B20</f>
        <v>Dierlijke mest uitrijden</v>
      </c>
      <c r="C21" s="48">
        <f>'Veldbonen huidig'!C20</f>
        <v>125</v>
      </c>
      <c r="D21" s="103">
        <f>IF('Veldbonen huidig'!D20=0,'Veldbonen huidig'!C20,'Veldbonen huidig'!D20)</f>
        <v>125</v>
      </c>
      <c r="E21" s="285"/>
    </row>
    <row r="22" spans="2:7" x14ac:dyDescent="0.3">
      <c r="B22" s="11" t="str">
        <f>'Veldbonen huidig'!B21</f>
        <v>Kunstmest aanvoer (of dergelijken)</v>
      </c>
      <c r="C22" s="48">
        <f>'Veldbonen huidig'!C21</f>
        <v>44</v>
      </c>
      <c r="D22" s="103">
        <f>IF('Veldbonen huidig'!D21=0,'Veldbonen huidig'!C21,'Veldbonen huidig'!D21)</f>
        <v>44</v>
      </c>
      <c r="E22" s="285"/>
    </row>
    <row r="23" spans="2:7" x14ac:dyDescent="0.3">
      <c r="B23" s="11" t="str">
        <f>'Veldbonen huidig'!B22</f>
        <v>Kunstmest strooien</v>
      </c>
      <c r="C23" s="48">
        <f>'Veldbonen huidig'!C22</f>
        <v>25</v>
      </c>
      <c r="D23" s="103">
        <f>IF('Veldbonen huidig'!D22=0,'Veldbonen huidig'!C22,'Veldbonen huidig'!D22)</f>
        <v>25</v>
      </c>
      <c r="E23" s="285"/>
    </row>
    <row r="24" spans="2:7" x14ac:dyDescent="0.3">
      <c r="B24" s="224" t="str">
        <f>'Veldbonen huidig'!B23</f>
        <v>Kosten per jaar</v>
      </c>
      <c r="C24" s="306">
        <f>'Veldbonen huidig'!C23</f>
        <v>194</v>
      </c>
      <c r="D24" s="105">
        <f>IF('Veldbonen huidig'!D23=0,'Veldbonen huidig'!C23,'Veldbonen huidig'!D23)</f>
        <v>194</v>
      </c>
      <c r="E24" s="308">
        <f>IF(E21=0,C21,E21)+IF(E22=0,C22,E22)+IF(E23=0,C23,E23)</f>
        <v>194</v>
      </c>
    </row>
    <row r="25" spans="2:7" x14ac:dyDescent="0.3">
      <c r="B25" s="200"/>
      <c r="C25" s="200"/>
      <c r="D25" s="302"/>
      <c r="E25" s="200"/>
    </row>
    <row r="26" spans="2:7" x14ac:dyDescent="0.3">
      <c r="B26" s="193" t="str">
        <f>'Veldbonen huidig'!B25</f>
        <v>Gewasbescherming</v>
      </c>
      <c r="C26" s="193"/>
      <c r="D26" s="305"/>
      <c r="E26" s="193"/>
    </row>
    <row r="27" spans="2:7" x14ac:dyDescent="0.3">
      <c r="B27" s="11" t="str">
        <f>'Veldbonen huidig'!B26</f>
        <v>Spuiten</v>
      </c>
      <c r="C27" s="48">
        <f>'Veldbonen huidig'!C26</f>
        <v>40</v>
      </c>
      <c r="D27" s="103">
        <f>IF('Veldbonen huidig'!D26=0,'Veldbonen huidig'!C26,'Veldbonen huidig'!D26)</f>
        <v>40</v>
      </c>
      <c r="E27" s="285"/>
    </row>
    <row r="28" spans="2:7" x14ac:dyDescent="0.3">
      <c r="B28" s="11" t="str">
        <f>'Veldbonen huidig'!B27</f>
        <v>Gewasbeschermingsmiddelen</v>
      </c>
      <c r="C28" s="48">
        <f>'Veldbonen huidig'!C27</f>
        <v>99</v>
      </c>
      <c r="D28" s="103">
        <f>IF('Veldbonen huidig'!D27=0,'Veldbonen huidig'!C27,'Veldbonen huidig'!D27)</f>
        <v>99</v>
      </c>
      <c r="E28" s="285"/>
    </row>
    <row r="29" spans="2:7" x14ac:dyDescent="0.3">
      <c r="B29" s="224" t="str">
        <f>'Veldbonen huidig'!B28</f>
        <v>Kosten per jaar</v>
      </c>
      <c r="C29" s="306">
        <f>'Veldbonen huidig'!C28</f>
        <v>139</v>
      </c>
      <c r="D29" s="105">
        <f>IF('Veldbonen huidig'!D28=0,'Veldbonen huidig'!C28,'Veldbonen huidig'!D28)</f>
        <v>139</v>
      </c>
      <c r="E29" s="308">
        <f>IF(E27=0,C27,E27)+IF(E28=0,C28,E28)</f>
        <v>139</v>
      </c>
    </row>
    <row r="30" spans="2:7" x14ac:dyDescent="0.3">
      <c r="B30" s="200"/>
      <c r="C30" s="200"/>
      <c r="D30" s="302"/>
      <c r="E30" s="200"/>
    </row>
    <row r="31" spans="2:7" x14ac:dyDescent="0.3">
      <c r="B31" s="193" t="str">
        <f>'Veldbonen huidig'!B30</f>
        <v>Oogsten</v>
      </c>
      <c r="C31" s="193"/>
      <c r="D31" s="305"/>
      <c r="E31" s="193"/>
    </row>
    <row r="32" spans="2:7" x14ac:dyDescent="0.3">
      <c r="B32" s="11" t="str">
        <f>'Veldbonen huidig'!B31</f>
        <v>Oogsten</v>
      </c>
      <c r="C32" s="48">
        <f>'Veldbonen huidig'!C31</f>
        <v>191</v>
      </c>
      <c r="D32" s="103">
        <f>IF('Veldbonen huidig'!D31=0,'Veldbonen huidig'!C31,'Veldbonen huidig'!D31)</f>
        <v>191</v>
      </c>
      <c r="E32" s="285"/>
      <c r="G32" t="s">
        <v>55</v>
      </c>
    </row>
    <row r="33" spans="2:5" x14ac:dyDescent="0.3">
      <c r="B33" s="11" t="str">
        <f>'Veldbonen huidig'!B32</f>
        <v>Toevoegmiddelen</v>
      </c>
      <c r="C33" s="48">
        <f>'Veldbonen huidig'!C32</f>
        <v>0</v>
      </c>
      <c r="D33" s="103">
        <f>IF('Veldbonen huidig'!D32=0,'Veldbonen huidig'!C32,'Veldbonen huidig'!D32)</f>
        <v>0</v>
      </c>
      <c r="E33" s="285"/>
    </row>
    <row r="34" spans="2:5" x14ac:dyDescent="0.3">
      <c r="B34" s="224" t="str">
        <f>'Veldbonen huidig'!B33</f>
        <v>Kosten per jaar</v>
      </c>
      <c r="C34" s="306">
        <f>'Veldbonen huidig'!C33</f>
        <v>191</v>
      </c>
      <c r="D34" s="105">
        <f>IF('Veldbonen huidig'!D33=0,'Veldbonen huidig'!C33,'Veldbonen huidig'!D33)</f>
        <v>191</v>
      </c>
      <c r="E34" s="308">
        <f>IF(E32=0,C32,E32)+IF(E33=0,C33,E33)</f>
        <v>191</v>
      </c>
    </row>
    <row r="35" spans="2:5" x14ac:dyDescent="0.3">
      <c r="B35" s="200"/>
      <c r="C35" s="200"/>
      <c r="D35" s="302"/>
      <c r="E35" s="200"/>
    </row>
    <row r="36" spans="2:5" x14ac:dyDescent="0.3">
      <c r="B36" s="11" t="str">
        <f>'Veldbonen huidig'!B35</f>
        <v>Kosten per Ha</v>
      </c>
      <c r="C36" s="48">
        <f>'Veldbonen huidig'!C35</f>
        <v>892</v>
      </c>
      <c r="D36" s="103">
        <f>IF('Veldbonen huidig'!D35=0,'Veldbonen huidig'!C35,'Veldbonen huidig'!D35)</f>
        <v>892</v>
      </c>
      <c r="E36" s="48">
        <f>E34+E29+E24+E18</f>
        <v>892</v>
      </c>
    </row>
    <row r="37" spans="2:5" x14ac:dyDescent="0.3">
      <c r="B37" s="11" t="str">
        <f>'Veldbonen huidig'!B36</f>
        <v>Kosten per KG DS</v>
      </c>
      <c r="C37" s="47">
        <f>'Veldbonen huidig'!C36</f>
        <v>0.15513043478260868</v>
      </c>
      <c r="D37" s="102">
        <f>IF('Veldbonen huidig'!D36=0,'Veldbonen huidig'!C36,'Veldbonen huidig'!D36)</f>
        <v>0.15513043478260868</v>
      </c>
      <c r="E37" s="47">
        <f>IF(E10=0,E36/C10,E36/E10)</f>
        <v>0.15513043478260868</v>
      </c>
    </row>
    <row r="38" spans="2:5" x14ac:dyDescent="0.3">
      <c r="B38" s="11" t="str">
        <f>'Veldbonen huidig'!B37</f>
        <v>Kosten per kVEM</v>
      </c>
      <c r="C38" s="47">
        <f>'Veldbonen huidig'!C37</f>
        <v>0.13259011519881084</v>
      </c>
      <c r="D38" s="102">
        <f>IF('Veldbonen huidig'!D37=0,'Veldbonen huidig'!C37,'Veldbonen huidig'!D37)</f>
        <v>0.13259011519881087</v>
      </c>
      <c r="E38" s="47">
        <f>IF(E10=0,IF(E11=0,E36/(C10*C11),E36/(C10*E11)),IF(E11=0,E36/(E10*C11),E36/(E10*E11)))*1000</f>
        <v>0.13259011519881087</v>
      </c>
    </row>
  </sheetData>
  <sheetProtection sheet="1" objects="1" scenarios="1" selectLockedCells="1"/>
  <mergeCells count="1">
    <mergeCell ref="B2:E3"/>
  </mergeCells>
  <conditionalFormatting sqref="D15:D38 D10:D12">
    <cfRule type="expression" dxfId="17" priority="124">
      <formula>$B$5=2</formula>
    </cfRule>
  </conditionalFormatting>
  <conditionalFormatting sqref="E10:E12 E15:E38">
    <cfRule type="expression" dxfId="16" priority="126">
      <formula>$B$5&lt;3</formula>
    </cfRule>
  </conditionalFormatting>
  <conditionalFormatting sqref="D34 D31 D29 D26 D24 D20 D18 D14 D9">
    <cfRule type="expression" dxfId="15" priority="2">
      <formula>$B$5=2</formula>
    </cfRule>
  </conditionalFormatting>
  <conditionalFormatting sqref="E14 E9">
    <cfRule type="expression" dxfId="14" priority="1">
      <formula>$B$5=3</formula>
    </cfRule>
  </conditionalFormatting>
  <dataValidations count="1">
    <dataValidation type="decimal" operator="greaterThanOrEqual" allowBlank="1" showInputMessage="1" showErrorMessage="1" errorTitle="Fout" error="Typ een getal groter of gelijk aan 0." sqref="E10:E12 E15:E17 E21:E23 E28 E27 E32 E33" xr:uid="{E22445D5-A2F9-473D-887D-7C3B9255F23E}">
      <formula1>0</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7889" r:id="rId4" name="Option Button 1">
              <controlPr defaultSize="0" autoFill="0" autoLine="0" autoPict="0">
                <anchor moveWithCells="1">
                  <from>
                    <xdr:col>1</xdr:col>
                    <xdr:colOff>0</xdr:colOff>
                    <xdr:row>4</xdr:row>
                    <xdr:rowOff>0</xdr:rowOff>
                  </from>
                  <to>
                    <xdr:col>2</xdr:col>
                    <xdr:colOff>0</xdr:colOff>
                    <xdr:row>5</xdr:row>
                    <xdr:rowOff>7620</xdr:rowOff>
                  </to>
                </anchor>
              </controlPr>
            </control>
          </mc:Choice>
        </mc:AlternateContent>
        <mc:AlternateContent xmlns:mc="http://schemas.openxmlformats.org/markup-compatibility/2006">
          <mc:Choice Requires="x14">
            <control shapeId="37890" r:id="rId5" name="Option Button 2">
              <controlPr defaultSize="0" autoFill="0" autoLine="0" autoPict="0">
                <anchor moveWithCells="1">
                  <from>
                    <xdr:col>1</xdr:col>
                    <xdr:colOff>0</xdr:colOff>
                    <xdr:row>4</xdr:row>
                    <xdr:rowOff>182880</xdr:rowOff>
                  </from>
                  <to>
                    <xdr:col>2</xdr:col>
                    <xdr:colOff>0</xdr:colOff>
                    <xdr:row>6</xdr:row>
                    <xdr:rowOff>7620</xdr:rowOff>
                  </to>
                </anchor>
              </controlPr>
            </control>
          </mc:Choice>
        </mc:AlternateContent>
        <mc:AlternateContent xmlns:mc="http://schemas.openxmlformats.org/markup-compatibility/2006">
          <mc:Choice Requires="x14">
            <control shapeId="37891" r:id="rId6" name="Option Button 3">
              <controlPr defaultSize="0" autoFill="0" autoLine="0" autoPict="0">
                <anchor moveWithCells="1">
                  <from>
                    <xdr:col>1</xdr:col>
                    <xdr:colOff>0</xdr:colOff>
                    <xdr:row>5</xdr:row>
                    <xdr:rowOff>182880</xdr:rowOff>
                  </from>
                  <to>
                    <xdr:col>2</xdr:col>
                    <xdr:colOff>0</xdr:colOff>
                    <xdr:row>7</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F81D0-DFB5-4025-ACCF-6A0C54758249}">
  <sheetPr codeName="Blad18">
    <tabColor theme="9" tint="0.59999389629810485"/>
  </sheetPr>
  <dimension ref="B4:T73"/>
  <sheetViews>
    <sheetView showGridLines="0" zoomScale="80" zoomScaleNormal="80" workbookViewId="0">
      <selection activeCell="H7" sqref="H7:I8"/>
    </sheetView>
  </sheetViews>
  <sheetFormatPr defaultColWidth="8.77734375" defaultRowHeight="14.4" x14ac:dyDescent="0.3"/>
  <cols>
    <col min="1" max="1" width="2.77734375" customWidth="1"/>
    <col min="2" max="2" width="27.5546875" customWidth="1"/>
    <col min="3" max="3" width="15.88671875" bestFit="1" customWidth="1"/>
    <col min="4" max="4" width="17.21875" customWidth="1"/>
    <col min="5" max="6" width="13.5546875" customWidth="1"/>
    <col min="7" max="7" width="13.21875" bestFit="1" customWidth="1"/>
    <col min="8" max="8" width="27.5546875" customWidth="1"/>
    <col min="9" max="9" width="11.5546875" customWidth="1"/>
    <col min="10" max="10" width="17.21875" customWidth="1"/>
    <col min="11" max="12" width="13.5546875" customWidth="1"/>
    <col min="13" max="13" width="15.5546875" customWidth="1"/>
    <col min="15" max="15" width="9.77734375" customWidth="1"/>
    <col min="16" max="16" width="11.21875" customWidth="1"/>
    <col min="17" max="17" width="12.21875" customWidth="1"/>
    <col min="18" max="18" width="10.77734375" customWidth="1"/>
    <col min="19" max="19" width="11.44140625" customWidth="1"/>
  </cols>
  <sheetData>
    <row r="4" spans="2:11" ht="14.55" customHeight="1" x14ac:dyDescent="0.3">
      <c r="B4" s="345" t="s">
        <v>3</v>
      </c>
      <c r="C4" s="346"/>
      <c r="D4" s="346"/>
      <c r="E4" s="346"/>
      <c r="F4" s="346"/>
      <c r="G4" s="346"/>
      <c r="H4" s="347"/>
    </row>
    <row r="5" spans="2:11" ht="14.55" customHeight="1" x14ac:dyDescent="0.3">
      <c r="B5" s="348"/>
      <c r="C5" s="349"/>
      <c r="D5" s="349"/>
      <c r="E5" s="349"/>
      <c r="F5" s="349"/>
      <c r="G5" s="349"/>
      <c r="H5" s="350"/>
    </row>
    <row r="7" spans="2:11" x14ac:dyDescent="0.3">
      <c r="B7" s="363" t="s">
        <v>51</v>
      </c>
      <c r="C7" s="364"/>
      <c r="D7" s="193" t="s">
        <v>46</v>
      </c>
      <c r="E7" s="193" t="s">
        <v>47</v>
      </c>
      <c r="F7" s="193" t="s">
        <v>48</v>
      </c>
      <c r="H7" s="379" t="s">
        <v>172</v>
      </c>
      <c r="I7" s="379"/>
    </row>
    <row r="8" spans="2:11" x14ac:dyDescent="0.3">
      <c r="B8" s="361" t="s">
        <v>52</v>
      </c>
      <c r="C8" s="362"/>
      <c r="D8" s="44">
        <f>'Toelichting voerpositie'!C30*'Toelichting voerpositie'!D30</f>
        <v>0</v>
      </c>
      <c r="E8" s="44">
        <f>'Toelichting voerpositie'!E30</f>
        <v>0</v>
      </c>
      <c r="F8" s="44">
        <f>'Toelichting voerpositie'!F30</f>
        <v>0</v>
      </c>
      <c r="H8" s="379"/>
      <c r="I8" s="379"/>
    </row>
    <row r="9" spans="2:11" x14ac:dyDescent="0.3">
      <c r="B9" s="361" t="s">
        <v>53</v>
      </c>
      <c r="C9" s="362"/>
      <c r="D9" s="44">
        <f>'Toelichting voerpositie'!I30*'Toelichting voerpositie'!J30</f>
        <v>0</v>
      </c>
      <c r="E9" s="44">
        <f>'Toelichting voerpositie'!K30</f>
        <v>0</v>
      </c>
      <c r="F9" s="44">
        <f>'Toelichting voerpositie'!L30</f>
        <v>0</v>
      </c>
    </row>
    <row r="10" spans="2:11" x14ac:dyDescent="0.3">
      <c r="B10" s="351" t="s">
        <v>54</v>
      </c>
      <c r="C10" s="352"/>
      <c r="D10" s="44">
        <f>D9-D8</f>
        <v>0</v>
      </c>
      <c r="E10" s="44">
        <f>((D9*E9)-(D8*E8))</f>
        <v>0</v>
      </c>
      <c r="F10" s="44">
        <f>((D9*F9)-(D8*F8))</f>
        <v>0</v>
      </c>
      <c r="K10" t="s">
        <v>55</v>
      </c>
    </row>
    <row r="11" spans="2:11" x14ac:dyDescent="0.3">
      <c r="B11" s="85"/>
      <c r="C11" s="357"/>
      <c r="D11" s="357"/>
      <c r="E11" s="357"/>
      <c r="F11" s="358"/>
    </row>
    <row r="12" spans="2:11" x14ac:dyDescent="0.3">
      <c r="B12" s="363" t="s">
        <v>56</v>
      </c>
      <c r="C12" s="364"/>
      <c r="D12" s="204"/>
      <c r="E12" s="204"/>
      <c r="F12" s="204"/>
    </row>
    <row r="13" spans="2:11" x14ac:dyDescent="0.3">
      <c r="B13" s="361" t="s">
        <v>52</v>
      </c>
      <c r="C13" s="362"/>
      <c r="D13" s="44">
        <f>'Toelichting voerpositie'!C44*'Toelichting voerpositie'!D44</f>
        <v>0</v>
      </c>
      <c r="E13" s="44">
        <f>'Toelichting voerpositie'!E44</f>
        <v>0</v>
      </c>
      <c r="F13" s="44">
        <f>'Toelichting voerpositie'!F44</f>
        <v>0</v>
      </c>
    </row>
    <row r="14" spans="2:11" x14ac:dyDescent="0.3">
      <c r="B14" s="361" t="s">
        <v>53</v>
      </c>
      <c r="C14" s="362"/>
      <c r="D14" s="44">
        <f>'Toelichting voerpositie'!I44*'Toelichting voerpositie'!J44</f>
        <v>0</v>
      </c>
      <c r="E14" s="44">
        <f>'Toelichting voerpositie'!K44</f>
        <v>0</v>
      </c>
      <c r="F14" s="44">
        <f>'Toelichting voerpositie'!L44</f>
        <v>0</v>
      </c>
    </row>
    <row r="15" spans="2:11" x14ac:dyDescent="0.3">
      <c r="B15" s="351" t="s">
        <v>54</v>
      </c>
      <c r="C15" s="352"/>
      <c r="D15" s="44">
        <f>D14-D13</f>
        <v>0</v>
      </c>
      <c r="E15" s="44">
        <f>((D14*E14)-(D13*E13))</f>
        <v>0</v>
      </c>
      <c r="F15" s="44">
        <f>((D14*F14)-(D13*F13))</f>
        <v>0</v>
      </c>
    </row>
    <row r="16" spans="2:11" x14ac:dyDescent="0.3">
      <c r="B16" s="46"/>
    </row>
    <row r="17" spans="2:11" x14ac:dyDescent="0.3">
      <c r="B17" s="363" t="s">
        <v>57</v>
      </c>
      <c r="C17" s="364"/>
      <c r="D17" s="205" t="s">
        <v>58</v>
      </c>
      <c r="E17" s="205" t="s">
        <v>59</v>
      </c>
      <c r="F17" s="65"/>
    </row>
    <row r="18" spans="2:11" x14ac:dyDescent="0.3">
      <c r="B18" s="361" t="s">
        <v>60</v>
      </c>
      <c r="C18" s="362"/>
      <c r="D18" s="281"/>
      <c r="E18" s="281"/>
      <c r="F18" s="12"/>
    </row>
    <row r="19" spans="2:11" x14ac:dyDescent="0.3">
      <c r="F19" s="112"/>
    </row>
    <row r="20" spans="2:11" x14ac:dyDescent="0.3">
      <c r="B20" s="382"/>
      <c r="C20" s="382"/>
      <c r="D20" s="205" t="s">
        <v>61</v>
      </c>
      <c r="E20" s="206" t="s">
        <v>102</v>
      </c>
      <c r="F20" s="113"/>
    </row>
    <row r="21" spans="2:11" x14ac:dyDescent="0.3">
      <c r="B21" s="381" t="s">
        <v>61</v>
      </c>
      <c r="C21" s="381"/>
      <c r="D21" s="111">
        <f>Gegevens!C71</f>
        <v>16</v>
      </c>
      <c r="E21" s="282"/>
      <c r="F21" s="113"/>
    </row>
    <row r="22" spans="2:11" x14ac:dyDescent="0.3">
      <c r="D22" s="110"/>
      <c r="E22" s="110"/>
    </row>
    <row r="23" spans="2:11" x14ac:dyDescent="0.3">
      <c r="B23" s="359"/>
      <c r="C23" s="360"/>
      <c r="D23" s="224" t="s">
        <v>62</v>
      </c>
      <c r="E23" s="224" t="s">
        <v>47</v>
      </c>
      <c r="F23" s="224" t="s">
        <v>48</v>
      </c>
    </row>
    <row r="24" spans="2:11" x14ac:dyDescent="0.3">
      <c r="B24" s="361" t="s">
        <v>63</v>
      </c>
      <c r="C24" s="362"/>
      <c r="D24" s="44">
        <f>(E18-D18)*IF(E21=0,D21,E21)*365</f>
        <v>0</v>
      </c>
      <c r="E24" s="24">
        <f>E8</f>
        <v>0</v>
      </c>
      <c r="F24" s="24">
        <f>F8</f>
        <v>0</v>
      </c>
    </row>
    <row r="25" spans="2:11" x14ac:dyDescent="0.3">
      <c r="D25" s="9">
        <f>IF(E21=0,D21,E21)</f>
        <v>16</v>
      </c>
      <c r="E25" s="26"/>
      <c r="F25" s="26"/>
    </row>
    <row r="26" spans="2:11" x14ac:dyDescent="0.3">
      <c r="B26" s="363"/>
      <c r="C26" s="364"/>
      <c r="D26" s="193" t="s">
        <v>62</v>
      </c>
      <c r="E26" s="193" t="s">
        <v>47</v>
      </c>
      <c r="F26" s="193" t="s">
        <v>48</v>
      </c>
    </row>
    <row r="27" spans="2:11" x14ac:dyDescent="0.3">
      <c r="B27" s="361" t="str">
        <f>IF(D27=0,"Meer/minder voer t.o.v. huidig",IF(D27&gt;0,"Meer voer t.o.v. huidig","Minder voer t.o.v. huidig"))</f>
        <v>Meer/minder voer t.o.v. huidig</v>
      </c>
      <c r="C27" s="362"/>
      <c r="D27" s="44">
        <f>IF((D10+D15-D24)&lt;0,MROUND(D10+D15-D24,-1000),MROUND(D10+D15-D24,1000))</f>
        <v>0</v>
      </c>
      <c r="E27" s="44">
        <f>IF(D27=0,0,((((D9*E9)+(D14*E14))-((D8*E8)+(D13*E13)))-(D24*E24))/D27)</f>
        <v>0</v>
      </c>
      <c r="F27" s="44">
        <f>IF(D27=0,0,((((D9*F9)+(D14*F14))-((D8*F8)+(D13*F13)))-(D24*F24))/D27)</f>
        <v>0</v>
      </c>
    </row>
    <row r="29" spans="2:11" x14ac:dyDescent="0.3">
      <c r="B29" s="365" t="str">
        <f>IF(D67&lt;0,CONCATENATE("Nog ",ABS(D67)," KG DS aan te vullen"),IF(D67&gt;0,CONCATENATE("Nog ",ABS(D67)," KG DS te verkopen/te besparen"),"Verschil in KG DS is opgelost"))</f>
        <v>Verschil in KG DS is opgelost</v>
      </c>
      <c r="C29" s="366"/>
      <c r="D29" s="366"/>
      <c r="E29" s="366"/>
      <c r="F29" s="366"/>
      <c r="G29" s="366"/>
      <c r="H29" s="367"/>
    </row>
    <row r="30" spans="2:11" x14ac:dyDescent="0.3">
      <c r="B30" s="368"/>
      <c r="C30" s="369"/>
      <c r="D30" s="369"/>
      <c r="E30" s="369"/>
      <c r="F30" s="369"/>
      <c r="G30" s="369"/>
      <c r="H30" s="370"/>
    </row>
    <row r="31" spans="2:11" x14ac:dyDescent="0.3">
      <c r="B31" s="148"/>
      <c r="C31" s="148"/>
      <c r="D31" s="148"/>
      <c r="E31" s="148"/>
      <c r="F31" s="148"/>
      <c r="G31" s="148"/>
      <c r="H31" s="148"/>
    </row>
    <row r="32" spans="2:11" x14ac:dyDescent="0.3">
      <c r="B32" s="363" t="s">
        <v>65</v>
      </c>
      <c r="C32" s="364"/>
      <c r="D32" s="193" t="s">
        <v>62</v>
      </c>
      <c r="E32" s="193" t="s">
        <v>47</v>
      </c>
      <c r="F32" s="193" t="s">
        <v>48</v>
      </c>
      <c r="G32" s="193" t="s">
        <v>66</v>
      </c>
      <c r="H32" s="193" t="s">
        <v>8</v>
      </c>
      <c r="I32" s="4"/>
      <c r="J32" s="379" t="s">
        <v>181</v>
      </c>
      <c r="K32" s="379"/>
    </row>
    <row r="33" spans="2:11" x14ac:dyDescent="0.3">
      <c r="B33" s="353" t="str">
        <f>IF(COUNTIFS('Ruwvoer aankoop'!$A$23:$A$33,1)=1,VLOOKUP(1,'Ruwvoer aankoop'!$A$23:$I$33,2,FALSE),"")</f>
        <v/>
      </c>
      <c r="C33" s="354"/>
      <c r="D33" s="74" t="str">
        <f>IF(COUNTIFS('Ruwvoer aankoop'!$A$23:$A$33,1)=1,VLOOKUP(1,'Ruwvoer aankoop'!$A$23:$I$33,4,FALSE),"")</f>
        <v/>
      </c>
      <c r="E33" s="73" t="str">
        <f>IF(COUNTIFS('Ruwvoer aankoop'!$A$23:$A$33,1)=1,VLOOKUP(1,'Ruwvoer aankoop'!$A$23:$I$33,6,FALSE),"")</f>
        <v/>
      </c>
      <c r="F33" s="73" t="str">
        <f>IF(COUNTIFS('Ruwvoer aankoop'!$A$23:$A$33,1)=1,VLOOKUP(1,'Ruwvoer aankoop'!$A$23:$I$33,7,FALSE),"")</f>
        <v/>
      </c>
      <c r="G33" s="82" t="str">
        <f>IF(COUNTIFS('Ruwvoer aankoop'!$A$23:$A$33,1)=1,VLOOKUP(1,'Ruwvoer aankoop'!$A$23:$I$33,9,FALSE),"")</f>
        <v/>
      </c>
      <c r="H33" s="80" t="str">
        <f>IF(D33="","",D33*G33)</f>
        <v/>
      </c>
      <c r="I33" s="51"/>
      <c r="J33" s="379"/>
      <c r="K33" s="379"/>
    </row>
    <row r="34" spans="2:11" x14ac:dyDescent="0.3">
      <c r="B34" s="355" t="str">
        <f>IF(COUNTIFS('Ruwvoer aankoop'!$A$23:$A$33,2)=1,VLOOKUP(2,'Ruwvoer aankoop'!$A$23:$I$33,2,FALSE),"")</f>
        <v/>
      </c>
      <c r="C34" s="356"/>
      <c r="D34" s="74" t="str">
        <f>IF(COUNTIFS('Ruwvoer aankoop'!$A$23:$A$33,2)=1,VLOOKUP(2,'Ruwvoer aankoop'!$A$23:$I$33,4,FALSE),"")</f>
        <v/>
      </c>
      <c r="E34" s="73" t="str">
        <f>IF(COUNTIFS('Ruwvoer aankoop'!$A$23:$A$33,2)=1,VLOOKUP(2,'Ruwvoer aankoop'!$A$23:$I$33,6,FALSE),"")</f>
        <v/>
      </c>
      <c r="F34" s="73" t="str">
        <f>IF(COUNTIFS('Ruwvoer aankoop'!$A$23:$A$33,2)=1,VLOOKUP(2,'Ruwvoer aankoop'!$A$23:$I$33,7,FALSE),"")</f>
        <v/>
      </c>
      <c r="G34" s="82" t="str">
        <f>IF(COUNTIFS('Ruwvoer aankoop'!$A$23:$A$33,2)=1,VLOOKUP(2,'Ruwvoer aankoop'!$A$23:$I$33,9,FALSE),"")</f>
        <v/>
      </c>
      <c r="H34" s="80" t="str">
        <f t="shared" ref="H34:H36" si="0">IF(D34="","",D34*G34)</f>
        <v/>
      </c>
      <c r="I34" s="51"/>
    </row>
    <row r="35" spans="2:11" x14ac:dyDescent="0.3">
      <c r="B35" s="355" t="str">
        <f>IF(COUNTIFS('Ruwvoer aankoop'!$A$23:$A$33,3)=1,VLOOKUP(3,'Ruwvoer aankoop'!$A$23:$I$33,2,FALSE),"")</f>
        <v/>
      </c>
      <c r="C35" s="356"/>
      <c r="D35" s="74" t="str">
        <f>IF(COUNTIFS('Ruwvoer aankoop'!$A$23:$A$33,3)=1,VLOOKUP(3,'Ruwvoer aankoop'!$A$23:$I$33,4,FALSE),"")</f>
        <v/>
      </c>
      <c r="E35" s="73" t="str">
        <f>IF(COUNTIFS('Ruwvoer aankoop'!$A$23:$A$33,3)=1,VLOOKUP(3,'Ruwvoer aankoop'!$A$23:$I$33,6,FALSE),"")</f>
        <v/>
      </c>
      <c r="F35" s="73" t="str">
        <f>IF(COUNTIFS('Ruwvoer aankoop'!$A$23:$A$33,3)=1,VLOOKUP(3,'Ruwvoer aankoop'!$A$23:$I$33,7,FALSE),"")</f>
        <v/>
      </c>
      <c r="G35" s="82" t="str">
        <f>IF(COUNTIFS('Ruwvoer aankoop'!$A$23:$A$33,3)=1,VLOOKUP(3,'Ruwvoer aankoop'!$A$23:$I$33,9,FALSE),"")</f>
        <v/>
      </c>
      <c r="H35" s="80" t="str">
        <f t="shared" si="0"/>
        <v/>
      </c>
      <c r="I35" s="51"/>
    </row>
    <row r="36" spans="2:11" x14ac:dyDescent="0.3">
      <c r="B36" s="355" t="str">
        <f>IF(COUNTIFS('Ruwvoer aankoop'!$A$23:$A$33,4)=1,VLOOKUP(4,'Ruwvoer aankoop'!$A$23:$I$33,2,FALSE),"")</f>
        <v/>
      </c>
      <c r="C36" s="356"/>
      <c r="D36" s="74" t="str">
        <f>IF(COUNTIFS('Ruwvoer aankoop'!$A$23:$A$33,4)=1,VLOOKUP(4,'Ruwvoer aankoop'!$A$23:$I$33,4,FALSE),"")</f>
        <v/>
      </c>
      <c r="E36" s="73" t="str">
        <f>IF(COUNTIFS('Ruwvoer aankoop'!$A$23:$A$33,4)=1,VLOOKUP(4,'Ruwvoer aankoop'!$A$23:$I$33,6,FALSE),"")</f>
        <v/>
      </c>
      <c r="F36" s="73" t="str">
        <f>IF(COUNTIFS('Ruwvoer aankoop'!$A$23:$A$33,4)=1,VLOOKUP(4,'Ruwvoer aankoop'!$A$23:$I$33,7,FALSE),"")</f>
        <v/>
      </c>
      <c r="G36" s="82" t="str">
        <f>IF(COUNTIFS('Ruwvoer aankoop'!$A$23:$A$33,4)=1,VLOOKUP(4,'Ruwvoer aankoop'!$A$23:$I$33,9,FALSE),"")</f>
        <v/>
      </c>
      <c r="H36" s="80" t="str">
        <f t="shared" si="0"/>
        <v/>
      </c>
      <c r="I36" s="51"/>
    </row>
    <row r="37" spans="2:11" x14ac:dyDescent="0.3">
      <c r="B37" s="371" t="str">
        <f>IF(COUNTIFS('Ruwvoer aankoop'!$A$23:$A$33,5)=1,VLOOKUP(5,'Ruwvoer aankoop'!$A$23:$I$33,2,FALSE),"")</f>
        <v/>
      </c>
      <c r="C37" s="372"/>
      <c r="D37" s="74" t="str">
        <f>IF(COUNTIFS('Ruwvoer aankoop'!$A$23:$A$33,5)=1,VLOOKUP(5,'Ruwvoer aankoop'!$A$23:$I$33,4,FALSE),"")</f>
        <v/>
      </c>
      <c r="E37" s="73" t="str">
        <f>IF(COUNTIFS('Ruwvoer aankoop'!$A$23:$A$33,5)=1,VLOOKUP(5,'Ruwvoer aankoop'!$A$23:$I$33,6,FALSE),"")</f>
        <v/>
      </c>
      <c r="F37" s="73" t="str">
        <f>IF(COUNTIFS('Ruwvoer aankoop'!$A$23:$A$33,5)=1,VLOOKUP(5,'Ruwvoer aankoop'!$A$23:$I$33,7,FALSE),"")</f>
        <v/>
      </c>
      <c r="G37" s="82" t="str">
        <f>IF(COUNTIFS('Ruwvoer aankoop'!$A$23:$A$33,5)=1,VLOOKUP(5,'Ruwvoer aankoop'!$A$23:$I$33,9,FALSE),"")</f>
        <v/>
      </c>
      <c r="H37" s="80" t="str">
        <f>IF(D37="","",D37*G37)</f>
        <v/>
      </c>
      <c r="I37" s="4"/>
    </row>
    <row r="38" spans="2:11" x14ac:dyDescent="0.3">
      <c r="B38" s="373"/>
      <c r="C38" s="374"/>
      <c r="D38" s="76">
        <f>SUM(D33:D37)</f>
        <v>0</v>
      </c>
      <c r="E38" s="75">
        <f>IF(D38=0,0,SUMPRODUCT(D33:D37,E33:E37)/D38)</f>
        <v>0</v>
      </c>
      <c r="F38" s="75">
        <f>IF(D38=0,0,SUMPRODUCT(D33:D37,F33:F37)/D38)</f>
        <v>0</v>
      </c>
      <c r="G38" s="79">
        <f>IF(D38=0,0,SUMPRODUCT(D33:D37,G33:G37)/D38)</f>
        <v>0</v>
      </c>
      <c r="H38" s="81">
        <f>-SUM(H33:H37)</f>
        <v>0</v>
      </c>
      <c r="I38" s="4"/>
    </row>
    <row r="39" spans="2:11" x14ac:dyDescent="0.3">
      <c r="B39" s="380"/>
      <c r="C39" s="380"/>
      <c r="D39" s="380"/>
      <c r="E39" s="380"/>
      <c r="F39" s="380"/>
      <c r="G39" s="380"/>
      <c r="H39" s="380"/>
      <c r="I39" s="73"/>
      <c r="J39" s="72"/>
    </row>
    <row r="40" spans="2:11" x14ac:dyDescent="0.3">
      <c r="B40" s="363" t="s">
        <v>67</v>
      </c>
      <c r="C40" s="364"/>
      <c r="D40" s="207" t="s">
        <v>62</v>
      </c>
      <c r="E40" s="207" t="s">
        <v>47</v>
      </c>
      <c r="F40" s="207" t="s">
        <v>48</v>
      </c>
      <c r="G40" s="207" t="s">
        <v>66</v>
      </c>
      <c r="H40" s="207" t="s">
        <v>8</v>
      </c>
      <c r="I40" s="4"/>
      <c r="J40" s="379" t="s">
        <v>181</v>
      </c>
      <c r="K40" s="379"/>
    </row>
    <row r="41" spans="2:11" x14ac:dyDescent="0.3">
      <c r="B41" s="353" t="str">
        <f>IF(COUNTIFS('Ruwvoer besparing&amp;verkoop'!$A$23:$A$33,1)=1,VLOOKUP(1,'Ruwvoer besparing&amp;verkoop'!$A$23:$I$33,2,FALSE),"")</f>
        <v/>
      </c>
      <c r="C41" s="354"/>
      <c r="D41" s="74" t="str">
        <f>IF(COUNTIFS('Ruwvoer besparing&amp;verkoop'!$A$23:$A$33,1)=1,VLOOKUP(1,'Ruwvoer besparing&amp;verkoop'!$A$23:$I$33,4,FALSE),"")</f>
        <v/>
      </c>
      <c r="E41" s="73" t="str">
        <f>IF(COUNTIFS('Ruwvoer besparing&amp;verkoop'!$A$23:$A$33,1)=1,VLOOKUP(1,'Ruwvoer besparing&amp;verkoop'!$A$23:$I$33,6,FALSE),"")</f>
        <v/>
      </c>
      <c r="F41" s="73" t="str">
        <f>IF(COUNTIFS('Ruwvoer besparing&amp;verkoop'!$A$23:$A$33,1)=1,VLOOKUP(1,'Ruwvoer besparing&amp;verkoop'!$A$23:$I$33,7,FALSE),"")</f>
        <v/>
      </c>
      <c r="G41" s="82" t="str">
        <f>IF(COUNTIFS('Ruwvoer besparing&amp;verkoop'!$A$23:$A$33,1)=1,VLOOKUP(1,'Ruwvoer besparing&amp;verkoop'!$A$23:$I$33,9,FALSE),"")</f>
        <v/>
      </c>
      <c r="H41" s="80" t="str">
        <f>IF(D41="","",D41*G41)</f>
        <v/>
      </c>
      <c r="I41" s="51"/>
      <c r="J41" s="379"/>
      <c r="K41" s="379"/>
    </row>
    <row r="42" spans="2:11" x14ac:dyDescent="0.3">
      <c r="B42" s="355" t="str">
        <f>IF(COUNTIFS('Ruwvoer besparing&amp;verkoop'!$A$23:$A$33,2)=1,VLOOKUP(2,'Ruwvoer besparing&amp;verkoop'!$A$23:$I$33,2,FALSE),"")</f>
        <v/>
      </c>
      <c r="C42" s="356"/>
      <c r="D42" s="74" t="str">
        <f>IF(COUNTIFS('Ruwvoer besparing&amp;verkoop'!$A$23:$A$33,2)=1,VLOOKUP(2,'Ruwvoer besparing&amp;verkoop'!$A$23:$I$33,4,FALSE),"")</f>
        <v/>
      </c>
      <c r="E42" s="73" t="str">
        <f>IF(COUNTIFS('Ruwvoer besparing&amp;verkoop'!$A$23:$A$33,2)=1,VLOOKUP(2,'Ruwvoer besparing&amp;verkoop'!$A$23:$I$33,6,FALSE),"")</f>
        <v/>
      </c>
      <c r="F42" s="73" t="str">
        <f>IF(COUNTIFS('Ruwvoer besparing&amp;verkoop'!$A$23:$A$33,2)=1,VLOOKUP(2,'Ruwvoer besparing&amp;verkoop'!$A$23:$I$33,7,FALSE),"")</f>
        <v/>
      </c>
      <c r="G42" s="82" t="str">
        <f>IF(COUNTIFS('Ruwvoer besparing&amp;verkoop'!$A$23:$A$33,2)=1,VLOOKUP(2,'Ruwvoer besparing&amp;verkoop'!$A$23:$I$33,9,FALSE),"")</f>
        <v/>
      </c>
      <c r="H42" s="80" t="str">
        <f t="shared" ref="H42:H44" si="1">IF(D42="","",D42*G42)</f>
        <v/>
      </c>
      <c r="I42" s="51"/>
    </row>
    <row r="43" spans="2:11" x14ac:dyDescent="0.3">
      <c r="B43" s="355" t="str">
        <f>IF(COUNTIFS('Ruwvoer besparing&amp;verkoop'!$A$23:$A$33,3)=1,VLOOKUP(3,'Ruwvoer besparing&amp;verkoop'!$A$23:$I$33,2,FALSE),"")</f>
        <v/>
      </c>
      <c r="C43" s="356"/>
      <c r="D43" s="74" t="str">
        <f>IF(COUNTIFS('Ruwvoer besparing&amp;verkoop'!$A$23:$A$33,3)=1,VLOOKUP(3,'Ruwvoer besparing&amp;verkoop'!$A$23:$I$33,4,FALSE),"")</f>
        <v/>
      </c>
      <c r="E43" s="73" t="str">
        <f>IF(COUNTIFS('Ruwvoer besparing&amp;verkoop'!$A$23:$A$33,3)=1,VLOOKUP(3,'Ruwvoer besparing&amp;verkoop'!$A$23:$I$33,6,FALSE),"")</f>
        <v/>
      </c>
      <c r="F43" s="73" t="str">
        <f>IF(COUNTIFS('Ruwvoer besparing&amp;verkoop'!$A$23:$A$33,3)=1,VLOOKUP(3,'Ruwvoer besparing&amp;verkoop'!$A$23:$I$33,7,FALSE),"")</f>
        <v/>
      </c>
      <c r="G43" s="82" t="str">
        <f>IF(COUNTIFS('Ruwvoer besparing&amp;verkoop'!$A$23:$A$33,3)=1,VLOOKUP(3,'Ruwvoer besparing&amp;verkoop'!$A$23:$I$33,9,FALSE),"")</f>
        <v/>
      </c>
      <c r="H43" s="80" t="str">
        <f t="shared" si="1"/>
        <v/>
      </c>
      <c r="I43" s="51"/>
    </row>
    <row r="44" spans="2:11" x14ac:dyDescent="0.3">
      <c r="B44" s="355" t="str">
        <f>IF(COUNTIFS('Ruwvoer besparing&amp;verkoop'!$A$23:$A$33,4)=1,VLOOKUP(4,'Ruwvoer besparing&amp;verkoop'!$A$23:$I$33,2,FALSE),"")</f>
        <v/>
      </c>
      <c r="C44" s="356"/>
      <c r="D44" s="74" t="str">
        <f>IF(COUNTIFS('Ruwvoer besparing&amp;verkoop'!$A$23:$A$33,4)=1,VLOOKUP(4,'Ruwvoer besparing&amp;verkoop'!$A$23:$I$33,4,FALSE),"")</f>
        <v/>
      </c>
      <c r="E44" s="73" t="str">
        <f>IF(COUNTIFS('Ruwvoer besparing&amp;verkoop'!$A$23:$A$33,4)=1,VLOOKUP(4,'Ruwvoer besparing&amp;verkoop'!$A$23:$I$33,6,FALSE),"")</f>
        <v/>
      </c>
      <c r="F44" s="73" t="str">
        <f>IF(COUNTIFS('Ruwvoer besparing&amp;verkoop'!$A$23:$A$33,4)=1,VLOOKUP(4,'Ruwvoer besparing&amp;verkoop'!$A$23:$I$33,7,FALSE),"")</f>
        <v/>
      </c>
      <c r="G44" s="82" t="str">
        <f>IF(COUNTIFS('Ruwvoer besparing&amp;verkoop'!$A$23:$A$33,4)=1,VLOOKUP(4,'Ruwvoer besparing&amp;verkoop'!$A$23:$I$33,9,FALSE),"")</f>
        <v/>
      </c>
      <c r="H44" s="80" t="str">
        <f t="shared" si="1"/>
        <v/>
      </c>
      <c r="I44" s="51"/>
    </row>
    <row r="45" spans="2:11" x14ac:dyDescent="0.3">
      <c r="B45" s="371" t="str">
        <f>IF(COUNTIFS('Ruwvoer besparing&amp;verkoop'!$A$23:$A$33,5)=1,VLOOKUP(5,'Ruwvoer besparing&amp;verkoop'!$A$23:$I$33,2,FALSE),"")</f>
        <v/>
      </c>
      <c r="C45" s="372"/>
      <c r="D45" s="74" t="str">
        <f>IF(COUNTIFS('Ruwvoer besparing&amp;verkoop'!$A$23:$A$33,5)=1,VLOOKUP(5,'Ruwvoer besparing&amp;verkoop'!$A$23:$I$33,4,FALSE),"")</f>
        <v/>
      </c>
      <c r="E45" s="73" t="str">
        <f>IF(COUNTIFS('Ruwvoer besparing&amp;verkoop'!$A$23:$A$33,5)=1,VLOOKUP(5,'Ruwvoer besparing&amp;verkoop'!$A$23:$I$33,6,FALSE),"")</f>
        <v/>
      </c>
      <c r="F45" s="73" t="str">
        <f>IF(COUNTIFS('Ruwvoer besparing&amp;verkoop'!$A$23:$A$33,5)=1,VLOOKUP(5,'Ruwvoer besparing&amp;verkoop'!$A$23:$I$33,7,FALSE),"")</f>
        <v/>
      </c>
      <c r="G45" s="82" t="str">
        <f>IF(COUNTIFS('Ruwvoer besparing&amp;verkoop'!$A$23:$A$33,5)=1,VLOOKUP(5,'Ruwvoer besparing&amp;verkoop'!$A$23:$I$33,9,FALSE),"")</f>
        <v/>
      </c>
      <c r="H45" s="80" t="str">
        <f>IF(D45="","",D45*G45)</f>
        <v/>
      </c>
      <c r="I45" s="51"/>
    </row>
    <row r="46" spans="2:11" x14ac:dyDescent="0.3">
      <c r="B46" s="373"/>
      <c r="C46" s="374"/>
      <c r="D46" s="76">
        <f>SUM(D41:D45)</f>
        <v>0</v>
      </c>
      <c r="E46" s="77">
        <f>IF(D46=0,0,SUMPRODUCT(D41:D45,E41:E45)/D46)</f>
        <v>0</v>
      </c>
      <c r="F46" s="77">
        <f>IF(D46=0,0,SUMPRODUCT(D41:D45,F41:F45)/D46)</f>
        <v>0</v>
      </c>
      <c r="G46" s="79">
        <f>IF(D46=0,0,SUMPRODUCT(D41:D45,G41:G45)/D46)</f>
        <v>0</v>
      </c>
      <c r="H46" s="81">
        <f>SUM(H41:H45)</f>
        <v>0</v>
      </c>
      <c r="I46" s="4"/>
    </row>
    <row r="47" spans="2:11" x14ac:dyDescent="0.3">
      <c r="B47" s="383"/>
      <c r="C47" s="383"/>
      <c r="D47" s="383"/>
      <c r="E47" s="383"/>
      <c r="F47" s="383"/>
      <c r="G47" s="383"/>
      <c r="H47" s="383"/>
      <c r="I47" s="4"/>
      <c r="J47" s="12"/>
    </row>
    <row r="48" spans="2:11" x14ac:dyDescent="0.3">
      <c r="B48" s="386" t="s">
        <v>68</v>
      </c>
      <c r="C48" s="387"/>
      <c r="D48" s="208" t="s">
        <v>62</v>
      </c>
      <c r="E48" s="208" t="s">
        <v>47</v>
      </c>
      <c r="F48" s="208" t="s">
        <v>48</v>
      </c>
      <c r="G48" s="208" t="s">
        <v>66</v>
      </c>
      <c r="H48" s="208" t="s">
        <v>8</v>
      </c>
      <c r="I48" s="4"/>
      <c r="J48" s="379" t="s">
        <v>181</v>
      </c>
      <c r="K48" s="379"/>
    </row>
    <row r="49" spans="2:11" x14ac:dyDescent="0.3">
      <c r="B49" s="353" t="str">
        <f>IF(COUNTIF('Krachtvoer aankoop'!$A$23:$A$32,1)=1,VLOOKUP(1,'Krachtvoer aankoop'!$A$23:$I$32,2,FALSE),"")</f>
        <v/>
      </c>
      <c r="C49" s="354"/>
      <c r="D49" s="89" t="str">
        <f>IF(COUNTIF('Krachtvoer aankoop'!$A$23:$A$32,1)=1,VLOOKUP(1,'Krachtvoer aankoop'!$A$23:$I$32,4,FALSE),"")</f>
        <v/>
      </c>
      <c r="E49" s="89" t="str">
        <f>IF(COUNTIF('Krachtvoer aankoop'!$A$23:$A$32,1)=1,VLOOKUP(1,'Krachtvoer aankoop'!$A$23:$I$32,6,FALSE),"")</f>
        <v/>
      </c>
      <c r="F49" s="89" t="str">
        <f>IF(COUNTIF('Krachtvoer aankoop'!$A$23:$A$32,1)=1,VLOOKUP(1,'Krachtvoer aankoop'!$A$23:$I$32,7,FALSE),"")</f>
        <v/>
      </c>
      <c r="G49" s="89" t="str">
        <f>IF(COUNTIF('Krachtvoer aankoop'!$A$23:$A$32,1)=1,VLOOKUP(1,'Krachtvoer aankoop'!$A$23:$I$32,9,FALSE),"")</f>
        <v/>
      </c>
      <c r="H49" s="94" t="str">
        <f>IF(B49="","",D49*G49)</f>
        <v/>
      </c>
      <c r="I49" s="51"/>
      <c r="J49" s="379"/>
      <c r="K49" s="379"/>
    </row>
    <row r="50" spans="2:11" x14ac:dyDescent="0.3">
      <c r="B50" s="355" t="str">
        <f>IF(COUNTIF('Krachtvoer aankoop'!$A$23:$A$32,2)=1,VLOOKUP(2,'Krachtvoer aankoop'!$A$23:$I$32,2,FALSE),"")</f>
        <v/>
      </c>
      <c r="C50" s="356"/>
      <c r="D50" s="73" t="str">
        <f>IF(COUNTIF('Krachtvoer aankoop'!$A$23:$A$32,2)=1,VLOOKUP(2,'Krachtvoer aankoop'!$A$23:$I$32,4,FALSE),"")</f>
        <v/>
      </c>
      <c r="E50" s="73" t="str">
        <f>IF(COUNTIF('Krachtvoer aankoop'!$A$23:$A$32,2)=1,VLOOKUP(2,'Krachtvoer aankoop'!$A$23:$I$32,6,FALSE),"")</f>
        <v/>
      </c>
      <c r="F50" s="73" t="str">
        <f>IF(COUNTIF('Krachtvoer aankoop'!$A$23:$A$32,2)=1,VLOOKUP(2,'Krachtvoer aankoop'!$A$23:$I$32,7,FALSE),"")</f>
        <v/>
      </c>
      <c r="G50" s="73" t="str">
        <f>IF(COUNTIF('Krachtvoer aankoop'!$A$23:$A$32,2)=1,VLOOKUP(2,'Krachtvoer aankoop'!$A$23:$I$32,9,FALSE),"")</f>
        <v/>
      </c>
      <c r="H50" s="83" t="str">
        <f t="shared" ref="H50:H53" si="2">IF(B50="","",D50*G50)</f>
        <v/>
      </c>
      <c r="I50" s="51"/>
    </row>
    <row r="51" spans="2:11" x14ac:dyDescent="0.3">
      <c r="B51" s="355" t="str">
        <f>IF(COUNTIF('Krachtvoer aankoop'!$A$23:$A$32,3)=1,VLOOKUP(3,'Krachtvoer aankoop'!$A$23:$I$32,2,FALSE),"")</f>
        <v/>
      </c>
      <c r="C51" s="356"/>
      <c r="D51" s="73" t="str">
        <f>IF(COUNTIF('Krachtvoer aankoop'!$A$23:$A$32,3)=1,VLOOKUP(3,'Krachtvoer aankoop'!$A$23:$I$32,4,FALSE),"")</f>
        <v/>
      </c>
      <c r="E51" s="73" t="str">
        <f>IF(COUNTIF('Krachtvoer aankoop'!$A$23:$A$32,3)=1,VLOOKUP(3,'Krachtvoer aankoop'!$A$23:$I$32,6,FALSE),"")</f>
        <v/>
      </c>
      <c r="F51" s="73" t="str">
        <f>IF(COUNTIF('Krachtvoer aankoop'!$A$23:$A$32,3)=1,VLOOKUP(3,'Krachtvoer aankoop'!$A$23:$I$32,7,FALSE),"")</f>
        <v/>
      </c>
      <c r="G51" s="73" t="str">
        <f>IF(COUNTIF('Krachtvoer aankoop'!$A$23:$A$32,3)=1,VLOOKUP(3,'Krachtvoer aankoop'!$A$23:$I$32,9,FALSE),"")</f>
        <v/>
      </c>
      <c r="H51" s="83" t="str">
        <f t="shared" si="2"/>
        <v/>
      </c>
      <c r="I51" s="51"/>
    </row>
    <row r="52" spans="2:11" x14ac:dyDescent="0.3">
      <c r="B52" s="355" t="str">
        <f>IF(COUNTIF('Krachtvoer aankoop'!$A$23:$A$32,4)=1,VLOOKUP(4,'Krachtvoer aankoop'!$A$23:$I$32,2,FALSE),"")</f>
        <v/>
      </c>
      <c r="C52" s="356"/>
      <c r="D52" s="73" t="str">
        <f>IF(COUNTIF('Krachtvoer aankoop'!$A$23:$A$32,4)=1,VLOOKUP(4,'Krachtvoer aankoop'!$A$23:$I$32,4,FALSE),"")</f>
        <v/>
      </c>
      <c r="E52" s="73" t="str">
        <f>IF(COUNTIF('Krachtvoer aankoop'!$A$23:$A$32,4)=1,VLOOKUP(4,'Krachtvoer aankoop'!$A$23:$I$32,6,FALSE),"")</f>
        <v/>
      </c>
      <c r="F52" s="73" t="str">
        <f>IF(COUNTIF('Krachtvoer aankoop'!$A$23:$A$32,4)=1,VLOOKUP(4,'Krachtvoer aankoop'!$A$23:$I$32,7,FALSE),"")</f>
        <v/>
      </c>
      <c r="G52" s="73" t="str">
        <f>IF(COUNTIF('Krachtvoer aankoop'!$A$23:$A$32,4)=1,VLOOKUP(4,'Krachtvoer aankoop'!$A$23:$I$32,9,FALSE),"")</f>
        <v/>
      </c>
      <c r="H52" s="83" t="str">
        <f t="shared" si="2"/>
        <v/>
      </c>
      <c r="I52" s="51"/>
    </row>
    <row r="53" spans="2:11" x14ac:dyDescent="0.3">
      <c r="B53" s="371" t="str">
        <f>IF(COUNTIF('Krachtvoer aankoop'!$A$23:$A$32,5)=1,VLOOKUP(5,'Krachtvoer aankoop'!$A$23:$I$32,2,FALSE),"")</f>
        <v/>
      </c>
      <c r="C53" s="372"/>
      <c r="D53" s="95" t="str">
        <f>IF(COUNTIF('Krachtvoer aankoop'!$A$23:$A$32,5)=1,VLOOKUP(5,'Krachtvoer aankoop'!$A$23:$I$32,4,FALSE),"")</f>
        <v/>
      </c>
      <c r="E53" s="95" t="str">
        <f>IF(COUNTIF('Krachtvoer aankoop'!$A$23:$A$32,5)=1,VLOOKUP(5,'Krachtvoer aankoop'!$A$23:$I$32,6,FALSE),"")</f>
        <v/>
      </c>
      <c r="F53" s="95" t="str">
        <f>IF(COUNTIF('Krachtvoer aankoop'!$A$23:$A$32,5)=1,VLOOKUP(5,'Krachtvoer aankoop'!$A$23:$I$32,7,FALSE),"")</f>
        <v/>
      </c>
      <c r="G53" s="95" t="str">
        <f>IF(COUNTIF('Krachtvoer aankoop'!$A$23:$A$32,5)=1,VLOOKUP(5,'Krachtvoer aankoop'!$A$23:$I$32,9,FALSE),"")</f>
        <v/>
      </c>
      <c r="H53" s="96" t="str">
        <f t="shared" si="2"/>
        <v/>
      </c>
      <c r="I53" s="51"/>
    </row>
    <row r="54" spans="2:11" x14ac:dyDescent="0.3">
      <c r="B54" s="384"/>
      <c r="C54" s="385"/>
      <c r="D54" s="90">
        <f>SUM(D49:D53)</f>
        <v>0</v>
      </c>
      <c r="E54" s="91">
        <f>IF(D54=0,0,SUMPRODUCT(D49:D53,E49:E53)/D54)</f>
        <v>0</v>
      </c>
      <c r="F54" s="91">
        <f>IF(D54=0,0,SUMPRODUCT(D49:D53,F49:F53)/D54)</f>
        <v>0</v>
      </c>
      <c r="G54" s="92">
        <f>IF(D54=0,0,SUMPRODUCT(D49:D53,G49:G53)/D54)</f>
        <v>0</v>
      </c>
      <c r="H54" s="93">
        <f>-SUM(H49:H53)</f>
        <v>0</v>
      </c>
      <c r="I54" s="4"/>
    </row>
    <row r="55" spans="2:11" x14ac:dyDescent="0.3">
      <c r="B55" s="380"/>
      <c r="C55" s="380"/>
      <c r="D55" s="380"/>
      <c r="E55" s="380"/>
      <c r="F55" s="380"/>
      <c r="G55" s="380"/>
      <c r="H55" s="380"/>
      <c r="I55" s="73"/>
      <c r="J55" s="72"/>
    </row>
    <row r="56" spans="2:11" x14ac:dyDescent="0.3">
      <c r="B56" s="363" t="s">
        <v>69</v>
      </c>
      <c r="C56" s="364"/>
      <c r="D56" s="193" t="s">
        <v>62</v>
      </c>
      <c r="E56" s="193" t="s">
        <v>47</v>
      </c>
      <c r="F56" s="193" t="s">
        <v>48</v>
      </c>
      <c r="G56" s="193" t="s">
        <v>66</v>
      </c>
      <c r="H56" s="193" t="s">
        <v>8</v>
      </c>
      <c r="I56" s="4"/>
      <c r="J56" s="379" t="s">
        <v>181</v>
      </c>
      <c r="K56" s="379"/>
    </row>
    <row r="57" spans="2:11" x14ac:dyDescent="0.3">
      <c r="B57" s="353" t="str">
        <f>IF(COUNTIF('Krachtvoer besparing'!$A$23:$A$32,1)=1,VLOOKUP(1,'Krachtvoer besparing'!$A$23:$I$32,2,FALSE),"")</f>
        <v/>
      </c>
      <c r="C57" s="354"/>
      <c r="D57" s="89" t="str">
        <f>IF(COUNTIF('Krachtvoer besparing'!$A$23:$A$32,1)=1,VLOOKUP(1,'Krachtvoer besparing'!$A$23:$I$32,4,FALSE),"")</f>
        <v/>
      </c>
      <c r="E57" s="89" t="str">
        <f>IF(COUNTIF('Krachtvoer besparing'!$A$23:$A$32,1)=1,VLOOKUP(1,'Krachtvoer besparing'!$A$23:$I$32,6,FALSE),"")</f>
        <v/>
      </c>
      <c r="F57" s="89" t="str">
        <f>IF(COUNTIF('Krachtvoer besparing'!$A$23:$A$32,1)=1,VLOOKUP(1,'Krachtvoer besparing'!$A$23:$I$32,7,FALSE),"")</f>
        <v/>
      </c>
      <c r="G57" s="89" t="str">
        <f>IF(COUNTIF('Krachtvoer besparing'!$A$23:$A$32,1)=1,VLOOKUP(1,'Krachtvoer besparing'!$A$23:$I$32,9,FALSE),"")</f>
        <v/>
      </c>
      <c r="H57" s="94" t="str">
        <f>IF(B57="","",D57*G57)</f>
        <v/>
      </c>
      <c r="I57" s="71"/>
      <c r="J57" s="379"/>
      <c r="K57" s="379"/>
    </row>
    <row r="58" spans="2:11" x14ac:dyDescent="0.3">
      <c r="B58" s="355" t="str">
        <f>IF(COUNTIF('Krachtvoer besparing'!$A$23:$A$32,2)=1,VLOOKUP(2,'Krachtvoer besparing'!$A$23:$I$32,2,FALSE),"")</f>
        <v/>
      </c>
      <c r="C58" s="356"/>
      <c r="D58" s="73" t="str">
        <f>IF(COUNTIF('Krachtvoer besparing'!$A$23:$A$32,2)=1,VLOOKUP(2,'Krachtvoer besparing'!$A$23:$I$32,4,FALSE),"")</f>
        <v/>
      </c>
      <c r="E58" s="73" t="str">
        <f>IF(COUNTIF('Krachtvoer besparing'!$A$23:$A$32,2)=1,VLOOKUP(2,'Krachtvoer besparing'!$A$23:$I$32,6,FALSE),"")</f>
        <v/>
      </c>
      <c r="F58" s="73" t="str">
        <f>IF(COUNTIF('Krachtvoer besparing'!$A$23:$A$32,2)=1,VLOOKUP(2,'Krachtvoer besparing'!$A$23:$I$32,7,FALSE),"")</f>
        <v/>
      </c>
      <c r="G58" s="73" t="str">
        <f>IF(COUNTIF('Krachtvoer besparing'!$A$23:$A$32,2)=1,VLOOKUP(2,'Krachtvoer besparing'!$A$23:$I$32,9,FALSE),"")</f>
        <v/>
      </c>
      <c r="H58" s="83" t="str">
        <f t="shared" ref="H58:H61" si="3">IF(B58="","",D58*G58)</f>
        <v/>
      </c>
      <c r="I58" s="71"/>
    </row>
    <row r="59" spans="2:11" x14ac:dyDescent="0.3">
      <c r="B59" s="355" t="str">
        <f>IF(COUNTIF('Krachtvoer besparing'!$A$23:$A$32,3)=1,VLOOKUP(3,'Krachtvoer besparing'!$A$23:$I$32,2,FALSE),"")</f>
        <v/>
      </c>
      <c r="C59" s="356"/>
      <c r="D59" s="73" t="str">
        <f>IF(COUNTIF('Krachtvoer besparing'!$A$23:$A$32,3)=1,VLOOKUP(3,'Krachtvoer besparing'!$A$23:$I$32,4,FALSE),"")</f>
        <v/>
      </c>
      <c r="E59" s="73" t="str">
        <f>IF(COUNTIF('Krachtvoer besparing'!$A$23:$A$32,3)=1,VLOOKUP(3,'Krachtvoer besparing'!$A$23:$I$32,6,FALSE),"")</f>
        <v/>
      </c>
      <c r="F59" s="73" t="str">
        <f>IF(COUNTIF('Krachtvoer besparing'!$A$23:$A$32,3)=1,VLOOKUP(3,'Krachtvoer besparing'!$A$23:$I$32,7,FALSE),"")</f>
        <v/>
      </c>
      <c r="G59" s="73" t="str">
        <f>IF(COUNTIF('Krachtvoer besparing'!$A$23:$A$32,3)=1,VLOOKUP(3,'Krachtvoer besparing'!$A$23:$I$32,9,FALSE),"")</f>
        <v/>
      </c>
      <c r="H59" s="83" t="str">
        <f t="shared" si="3"/>
        <v/>
      </c>
      <c r="I59" s="71"/>
    </row>
    <row r="60" spans="2:11" x14ac:dyDescent="0.3">
      <c r="B60" s="355" t="str">
        <f>IF(COUNTIF('Krachtvoer besparing'!$A$23:$A$32,4)=1,VLOOKUP(4,'Krachtvoer besparing'!$A$23:$I$32,2,FALSE),"")</f>
        <v/>
      </c>
      <c r="C60" s="356"/>
      <c r="D60" s="73" t="str">
        <f>IF(COUNTIF('Krachtvoer besparing'!$A$23:$A$32,4)=1,VLOOKUP(4,'Krachtvoer besparing'!$A$23:$I$32,4,FALSE),"")</f>
        <v/>
      </c>
      <c r="E60" s="73" t="str">
        <f>IF(COUNTIF('Krachtvoer besparing'!$A$23:$A$32,4)=1,VLOOKUP(4,'Krachtvoer besparing'!$A$23:$I$32,6,FALSE),"")</f>
        <v/>
      </c>
      <c r="F60" s="73" t="str">
        <f>IF(COUNTIF('Krachtvoer besparing'!$A$23:$A$32,4)=1,VLOOKUP(4,'Krachtvoer besparing'!$A$23:$I$32,7,FALSE),"")</f>
        <v/>
      </c>
      <c r="G60" s="73" t="str">
        <f>IF(COUNTIF('Krachtvoer besparing'!$A$23:$A$32,4)=1,VLOOKUP(4,'Krachtvoer besparing'!$A$23:$I$32,9,FALSE),"")</f>
        <v/>
      </c>
      <c r="H60" s="83" t="str">
        <f t="shared" si="3"/>
        <v/>
      </c>
      <c r="I60" s="71"/>
    </row>
    <row r="61" spans="2:11" x14ac:dyDescent="0.3">
      <c r="B61" s="371" t="str">
        <f>IF(COUNTIF('Krachtvoer besparing'!$A$23:$A$32,5)=1,VLOOKUP(5,'Krachtvoer besparing'!$A$23:$I$32,2,FALSE),"")</f>
        <v/>
      </c>
      <c r="C61" s="372"/>
      <c r="D61" s="95" t="str">
        <f>IF(COUNTIF('Krachtvoer besparing'!$A$23:$A$32,5)=1,VLOOKUP(5,'Krachtvoer besparing'!$A$23:$I$32,4,FALSE),"")</f>
        <v/>
      </c>
      <c r="E61" s="95" t="str">
        <f>IF(COUNTIF('Krachtvoer besparing'!$A$23:$A$32,5)=1,VLOOKUP(5,'Krachtvoer besparing'!$A$23:$I$32,6,FALSE),"")</f>
        <v/>
      </c>
      <c r="F61" s="95" t="str">
        <f>IF(COUNTIF('Krachtvoer besparing'!$A$23:$A$32,5)=1,VLOOKUP(5,'Krachtvoer besparing'!$A$23:$I$32,7,FALSE),"")</f>
        <v/>
      </c>
      <c r="G61" s="95" t="str">
        <f>IF(COUNTIF('Krachtvoer besparing'!$A$23:$A$32,5)=1,VLOOKUP(5,'Krachtvoer besparing'!$A$23:$I$32,9,FALSE),"")</f>
        <v/>
      </c>
      <c r="H61" s="96" t="str">
        <f t="shared" si="3"/>
        <v/>
      </c>
      <c r="I61" s="71"/>
    </row>
    <row r="62" spans="2:11" x14ac:dyDescent="0.3">
      <c r="B62" s="373"/>
      <c r="C62" s="374"/>
      <c r="D62" s="64">
        <f>SUM(D57:D61)</f>
        <v>0</v>
      </c>
      <c r="E62" s="3">
        <f>IF(D62=0,0,SUMPRODUCT(D57:D61,E57:E61)/D62)</f>
        <v>0</v>
      </c>
      <c r="F62" s="3">
        <f>IF(D62=0,0,SUMPRODUCT(D57:D61,F57:F61)/D62)</f>
        <v>0</v>
      </c>
      <c r="G62" s="49">
        <f>IF(D62=0,0,SUMPRODUCT(D57:D61,G57:G61)/D62)</f>
        <v>0</v>
      </c>
      <c r="H62" s="2">
        <f>SUM(H57:H61)</f>
        <v>0</v>
      </c>
      <c r="I62" s="71"/>
    </row>
    <row r="63" spans="2:11" ht="15" thickBot="1" x14ac:dyDescent="0.35">
      <c r="B63" s="4"/>
      <c r="C63" s="4"/>
      <c r="D63" s="4"/>
      <c r="E63" s="4"/>
      <c r="F63" s="4"/>
      <c r="G63" s="4"/>
      <c r="H63" s="78"/>
      <c r="I63" s="71"/>
    </row>
    <row r="64" spans="2:11" ht="15" thickBot="1" x14ac:dyDescent="0.35">
      <c r="E64" s="1"/>
      <c r="F64" s="375" t="str">
        <f>IF(H64&gt;0,"Besparing voerkosten",IF(H64=0,"Verschil voerkosten","Toename voerkosten"))</f>
        <v>Verschil voerkosten</v>
      </c>
      <c r="G64" s="376"/>
      <c r="H64" s="239">
        <f>H38+H46+H54+H62</f>
        <v>0</v>
      </c>
      <c r="J64" s="53"/>
    </row>
    <row r="65" spans="2:20" x14ac:dyDescent="0.3">
      <c r="E65" s="1"/>
      <c r="F65" s="149"/>
      <c r="G65" s="149"/>
      <c r="H65" s="150"/>
      <c r="J65" s="53"/>
    </row>
    <row r="66" spans="2:20" x14ac:dyDescent="0.3">
      <c r="B66" s="377"/>
      <c r="C66" s="378"/>
      <c r="D66" s="193" t="s">
        <v>62</v>
      </c>
      <c r="E66" s="193" t="s">
        <v>64</v>
      </c>
      <c r="F66" s="193" t="s">
        <v>88</v>
      </c>
    </row>
    <row r="67" spans="2:20" x14ac:dyDescent="0.3">
      <c r="B67" s="351" t="s">
        <v>70</v>
      </c>
      <c r="C67" s="352"/>
      <c r="D67" s="44">
        <f>D27+D38-D46+D54-D62</f>
        <v>0</v>
      </c>
      <c r="E67" s="44">
        <f>(D27*E27)+(D38*E38)-(D46*E46)+(D54*E54)-(D62*E62)</f>
        <v>0</v>
      </c>
      <c r="F67" s="44">
        <f>(D27*F27)+(D38*F38)-(D46*F46)+(D54*F54)-(D62*F62)</f>
        <v>0</v>
      </c>
    </row>
    <row r="68" spans="2:20" x14ac:dyDescent="0.3">
      <c r="B68" s="46"/>
    </row>
    <row r="69" spans="2:20" x14ac:dyDescent="0.3">
      <c r="B69" s="389"/>
      <c r="C69" s="389"/>
      <c r="D69" s="389" t="s">
        <v>72</v>
      </c>
      <c r="E69" s="389"/>
      <c r="F69" s="389" t="s">
        <v>73</v>
      </c>
      <c r="G69" s="389"/>
      <c r="H69" s="389"/>
    </row>
    <row r="70" spans="2:20" ht="1.95" customHeight="1" x14ac:dyDescent="0.3">
      <c r="B70" s="393"/>
      <c r="C70" s="394"/>
      <c r="D70" s="394"/>
      <c r="E70" s="394"/>
      <c r="F70" s="394"/>
      <c r="G70" s="394"/>
      <c r="H70" s="395"/>
    </row>
    <row r="71" spans="2:20" x14ac:dyDescent="0.3">
      <c r="B71" s="390" t="s">
        <v>71</v>
      </c>
      <c r="C71" s="390"/>
      <c r="D71" s="392">
        <f>IF(E67&gt;0,MROUND(E67/Gegevens!C72,100),IF(E67&lt;0,MROUND(E67/Gegevens!C72,-100),0))</f>
        <v>0</v>
      </c>
      <c r="E71" s="392"/>
      <c r="F71" s="392" t="str">
        <f>IF(E18=0,"Vul het aantal dieren in!",IF(D71&lt;0,MROUND(D71/E18,-100),IF(D71&gt;0,MROUND(D71/E18,100),0)))</f>
        <v>Vul het aantal dieren in!</v>
      </c>
      <c r="G71" s="392"/>
      <c r="H71" s="392"/>
      <c r="J71" s="388" t="str">
        <f>IF(F71&gt;50,"De VEM-dichtheid in het rantsoen is toegenomen, dit kan leiden tot een productiestijging of er is een mogelijkheid om op krachtvoer te besparen",IF(F71&lt;(-50),"De VEM-dichtheid van het rantsoen is afgenomen, dit kan leiden tot een productie verlies, dit kan gecompenseerd worden met extra krachtvoer aankoop","De VEM-dichtheid blijft ongeveer gelijk aan de uitgangssituatie"))</f>
        <v>De VEM-dichtheid in het rantsoen is toegenomen, dit kan leiden tot een productiestijging of er is een mogelijkheid om op krachtvoer te besparen</v>
      </c>
      <c r="K71" s="388"/>
      <c r="L71" s="388"/>
      <c r="M71" s="388"/>
      <c r="N71" s="388"/>
      <c r="O71" s="388"/>
      <c r="P71" s="388"/>
      <c r="Q71" s="388"/>
      <c r="R71" s="388"/>
      <c r="S71" s="388"/>
      <c r="T71" s="388"/>
    </row>
    <row r="72" spans="2:20" ht="1.95" customHeight="1" x14ac:dyDescent="0.3">
      <c r="B72" s="393"/>
      <c r="C72" s="394"/>
      <c r="D72" s="394"/>
      <c r="E72" s="394"/>
      <c r="F72" s="394"/>
      <c r="G72" s="394"/>
      <c r="H72" s="395"/>
    </row>
    <row r="73" spans="2:20" x14ac:dyDescent="0.3">
      <c r="B73" s="391" t="s">
        <v>173</v>
      </c>
      <c r="C73" s="391"/>
      <c r="D73" s="392">
        <f>IF(F67&gt;0,MROUND(F67/Gegevens!C73,100),IF(F67&lt;0,MROUND(F67/Gegevens!C73,-100),0))</f>
        <v>0</v>
      </c>
      <c r="E73" s="392"/>
      <c r="F73" s="392" t="str">
        <f>IF(E18=0,"Vul het aantal dieren in!",IF(D73&lt;0,MROUND(D73/E18,-100),IF(D73&gt;0,MROUND(D73/E18,100),0)))</f>
        <v>Vul het aantal dieren in!</v>
      </c>
      <c r="G73" s="392"/>
      <c r="H73" s="392"/>
      <c r="J73" s="388" t="str">
        <f>IF(F73&gt;50,"De DVE-dichtheid in het rantsoen is toegenomen, dit kan leiden tot een productiestijging of er is een mogelijkheid om op krachtvoer te besparen",IF(F73&lt;(-50),"De DVE-dichtheid in het rantsoen is afgenomen, dit kan leiden tot een productie verlies, dit kan gecompenseerd worden met extra krachtvoer aankoop","De DVE-dichtheid blijft ongeveer gelijk aan de uitgangssituatie"))</f>
        <v>De DVE-dichtheid in het rantsoen is toegenomen, dit kan leiden tot een productiestijging of er is een mogelijkheid om op krachtvoer te besparen</v>
      </c>
      <c r="K73" s="388"/>
      <c r="L73" s="388"/>
      <c r="M73" s="388"/>
      <c r="N73" s="388"/>
      <c r="O73" s="388"/>
      <c r="P73" s="388"/>
      <c r="Q73" s="388"/>
      <c r="R73" s="388"/>
      <c r="S73" s="388"/>
      <c r="T73" s="388"/>
    </row>
  </sheetData>
  <sheetProtection sheet="1" objects="1" scenarios="1" selectLockedCells="1"/>
  <mergeCells count="71">
    <mergeCell ref="J71:T71"/>
    <mergeCell ref="J73:T73"/>
    <mergeCell ref="B69:C69"/>
    <mergeCell ref="B71:C71"/>
    <mergeCell ref="B73:C73"/>
    <mergeCell ref="D69:E69"/>
    <mergeCell ref="F69:H69"/>
    <mergeCell ref="F71:H71"/>
    <mergeCell ref="F73:H73"/>
    <mergeCell ref="D71:E71"/>
    <mergeCell ref="D73:E73"/>
    <mergeCell ref="B70:H70"/>
    <mergeCell ref="B72:H72"/>
    <mergeCell ref="J40:K41"/>
    <mergeCell ref="J48:K49"/>
    <mergeCell ref="J56:K57"/>
    <mergeCell ref="B39:H39"/>
    <mergeCell ref="B47:H47"/>
    <mergeCell ref="B51:C51"/>
    <mergeCell ref="B52:C52"/>
    <mergeCell ref="B53:C53"/>
    <mergeCell ref="B54:C54"/>
    <mergeCell ref="B44:C44"/>
    <mergeCell ref="B45:C45"/>
    <mergeCell ref="B46:C46"/>
    <mergeCell ref="B48:C48"/>
    <mergeCell ref="B21:C21"/>
    <mergeCell ref="B20:C20"/>
    <mergeCell ref="B17:C17"/>
    <mergeCell ref="B18:C18"/>
    <mergeCell ref="J32:K33"/>
    <mergeCell ref="B32:C32"/>
    <mergeCell ref="B33:C33"/>
    <mergeCell ref="B27:C27"/>
    <mergeCell ref="B66:C66"/>
    <mergeCell ref="H7:I8"/>
    <mergeCell ref="B55:H55"/>
    <mergeCell ref="B56:C56"/>
    <mergeCell ref="B57:C57"/>
    <mergeCell ref="B58:C58"/>
    <mergeCell ref="B12:C12"/>
    <mergeCell ref="B13:C13"/>
    <mergeCell ref="B14:C14"/>
    <mergeCell ref="B15:C15"/>
    <mergeCell ref="B35:C35"/>
    <mergeCell ref="B7:C7"/>
    <mergeCell ref="B8:C8"/>
    <mergeCell ref="B9:C9"/>
    <mergeCell ref="B10:C10"/>
    <mergeCell ref="B26:C26"/>
    <mergeCell ref="F64:G64"/>
    <mergeCell ref="B59:C59"/>
    <mergeCell ref="B60:C60"/>
    <mergeCell ref="B61:C61"/>
    <mergeCell ref="B62:C62"/>
    <mergeCell ref="B4:H5"/>
    <mergeCell ref="B67:C67"/>
    <mergeCell ref="B41:C41"/>
    <mergeCell ref="B42:C42"/>
    <mergeCell ref="B43:C43"/>
    <mergeCell ref="C11:F11"/>
    <mergeCell ref="B23:C23"/>
    <mergeCell ref="B24:C24"/>
    <mergeCell ref="B49:C49"/>
    <mergeCell ref="B50:C50"/>
    <mergeCell ref="B40:C40"/>
    <mergeCell ref="B29:H30"/>
    <mergeCell ref="B36:C36"/>
    <mergeCell ref="B37:C37"/>
    <mergeCell ref="B38:C38"/>
    <mergeCell ref="B34:C34"/>
  </mergeCells>
  <conditionalFormatting sqref="B20:F24">
    <cfRule type="expression" dxfId="143" priority="49">
      <formula>$D$18=$E$18</formula>
    </cfRule>
  </conditionalFormatting>
  <conditionalFormatting sqref="B29:H30">
    <cfRule type="containsText" dxfId="142" priority="4" operator="containsText" text="Nog">
      <formula>NOT(ISERROR(SEARCH("Nog",B29)))</formula>
    </cfRule>
  </conditionalFormatting>
  <conditionalFormatting sqref="F71 F73">
    <cfRule type="containsText" dxfId="141" priority="3" operator="containsText" text="vul">
      <formula>NOT(ISERROR(SEARCH("vul",F71)))</formula>
    </cfRule>
  </conditionalFormatting>
  <conditionalFormatting sqref="J71:T71 J73:T73">
    <cfRule type="containsText" dxfId="140" priority="1" operator="containsText" text="afgenomen">
      <formula>NOT(ISERROR(SEARCH("afgenomen",J71)))</formula>
    </cfRule>
    <cfRule type="containsText" dxfId="139" priority="2" operator="containsText" text="toegenomen">
      <formula>NOT(ISERROR(SEARCH("toegenomen",J71)))</formula>
    </cfRule>
  </conditionalFormatting>
  <dataValidations count="1">
    <dataValidation type="decimal" operator="greaterThanOrEqual" allowBlank="1" showInputMessage="1" showErrorMessage="1" errorTitle="Fout" error="Typ een getal groter of gelijk aan 0." sqref="D18 E18 E21" xr:uid="{E176E77B-A92E-4F8F-999F-59327BDD6240}">
      <formula1>0</formula1>
    </dataValidation>
  </dataValidations>
  <hyperlinks>
    <hyperlink ref="J32:K33" location="'Ruwvoer aankoop'!A1" display="Aankoop bepalen" xr:uid="{8D39223D-B1D3-46E6-AEEC-DBC363125DBE}"/>
    <hyperlink ref="J40:K41" location="'Ruwvoer besparing&amp;verkoop'!A1" display="Aankoop bepalen" xr:uid="{019CB0BB-20BA-4C0A-93E4-FEA8FBB3DF90}"/>
    <hyperlink ref="J48:K49" location="'Krachtvoer aankoop'!A1" display="Aankoop bepalen" xr:uid="{9ECE1C9A-E376-448B-8FD4-8A9CF76E1245}"/>
    <hyperlink ref="J56:K57" location="'Krachtvoer besparing'!A1" display="Aankoop bepalen" xr:uid="{A457747B-5D76-4FDE-8F60-C20ACF645D34}"/>
    <hyperlink ref="H7:I8" location="'Toelichting voerpositie'!A1" display="Quantiteit bepalen" xr:uid="{C676E4C0-8618-4DDF-99C9-3F69839A4899}"/>
  </hyperlinks>
  <pageMargins left="0.7" right="0.7" top="0.75" bottom="0.75" header="0.3" footer="0.3"/>
  <pageSetup paperSize="9" orientation="portrait" r:id="rId1"/>
  <drawing r:id="rId2"/>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6130A-9E55-4E0A-9750-40C434E53943}">
  <sheetPr codeName="Blad31">
    <tabColor theme="8" tint="0.59999389629810485"/>
  </sheetPr>
  <dimension ref="B2:G38"/>
  <sheetViews>
    <sheetView showGridLines="0" zoomScale="80" zoomScaleNormal="80" workbookViewId="0">
      <selection activeCell="E33" activeCellId="6" sqref="E10:E12 E15:E17 E21:E23 E27 E28 E32 E33"/>
    </sheetView>
  </sheetViews>
  <sheetFormatPr defaultRowHeight="14.4" x14ac:dyDescent="0.3"/>
  <cols>
    <col min="1" max="1" width="2.77734375" customWidth="1"/>
    <col min="2" max="2" width="30.5546875" customWidth="1"/>
    <col min="3" max="5" width="16.77734375" customWidth="1"/>
    <col min="6" max="6" width="2.6640625" customWidth="1"/>
  </cols>
  <sheetData>
    <row r="2" spans="2:6" x14ac:dyDescent="0.3">
      <c r="B2" s="456" t="s">
        <v>214</v>
      </c>
      <c r="C2" s="456"/>
      <c r="D2" s="456"/>
      <c r="E2" s="456"/>
    </row>
    <row r="3" spans="2:6" x14ac:dyDescent="0.3">
      <c r="B3" s="456"/>
      <c r="C3" s="456"/>
      <c r="D3" s="456"/>
      <c r="E3" s="456"/>
    </row>
    <row r="5" spans="2:6" x14ac:dyDescent="0.3">
      <c r="B5" s="277">
        <v>1</v>
      </c>
    </row>
    <row r="6" spans="2:6" x14ac:dyDescent="0.3">
      <c r="B6" s="240"/>
    </row>
    <row r="7" spans="2:6" x14ac:dyDescent="0.3">
      <c r="B7" s="240"/>
    </row>
    <row r="9" spans="2:6" x14ac:dyDescent="0.3">
      <c r="B9" s="193"/>
      <c r="C9" s="193" t="str">
        <f>'Soja huidig'!C8</f>
        <v>Gem. opbrengst</v>
      </c>
      <c r="D9" s="228" t="s">
        <v>133</v>
      </c>
      <c r="E9" s="228" t="s">
        <v>102</v>
      </c>
    </row>
    <row r="10" spans="2:6" x14ac:dyDescent="0.3">
      <c r="B10" s="11" t="str">
        <f>'Soja huidig'!B9</f>
        <v>Opbrengst in KG DS</v>
      </c>
      <c r="C10" s="44">
        <f>'Soja huidig'!C9</f>
        <v>2750</v>
      </c>
      <c r="D10" s="68">
        <f>IF('Soja huidig'!D9=0,'Soja huidig'!C9,'Soja huidig'!D9)</f>
        <v>2750</v>
      </c>
      <c r="E10" s="287"/>
    </row>
    <row r="11" spans="2:6" x14ac:dyDescent="0.3">
      <c r="B11" s="11" t="str">
        <f>'Soja huidig'!B10</f>
        <v>VEM per KG DS</v>
      </c>
      <c r="C11" s="11">
        <f>'Soja huidig'!C10</f>
        <v>1000</v>
      </c>
      <c r="D11" s="23">
        <f>IF('Soja huidig'!D10=0,'Soja huidig'!C10,'Soja huidig'!D10)</f>
        <v>1000</v>
      </c>
      <c r="E11" s="280"/>
    </row>
    <row r="12" spans="2:6" x14ac:dyDescent="0.3">
      <c r="B12" s="11" t="str">
        <f>'Soja huidig'!B11</f>
        <v>DVE per KG DS</v>
      </c>
      <c r="C12" s="11">
        <f>'Soja huidig'!C11</f>
        <v>220</v>
      </c>
      <c r="D12" s="23">
        <f>IF('Soja huidig'!D11=0,'Soja huidig'!C11,'Soja huidig'!D11)</f>
        <v>220</v>
      </c>
      <c r="E12" s="280"/>
    </row>
    <row r="13" spans="2:6" x14ac:dyDescent="0.3">
      <c r="B13" s="200"/>
      <c r="C13" s="200"/>
      <c r="D13" s="200"/>
      <c r="E13" s="200"/>
    </row>
    <row r="14" spans="2:6" x14ac:dyDescent="0.3">
      <c r="B14" s="193" t="str">
        <f>'Soja huidig'!B13</f>
        <v>Inzaaien</v>
      </c>
      <c r="C14" s="193" t="str">
        <f>'Soja huidig'!C13</f>
        <v>Gem. kosten</v>
      </c>
      <c r="D14" s="228" t="s">
        <v>133</v>
      </c>
      <c r="E14" s="228" t="s">
        <v>102</v>
      </c>
    </row>
    <row r="15" spans="2:6" x14ac:dyDescent="0.3">
      <c r="B15" s="11" t="str">
        <f>'Soja huidig'!B14</f>
        <v>Ploegen/zaaiklaar maken</v>
      </c>
      <c r="C15" s="48">
        <f>'Soja huidig'!C14</f>
        <v>197</v>
      </c>
      <c r="D15" s="103">
        <f>IF('Soja huidig'!D14=0,'Soja huidig'!C14,'Soja huidig'!D14)</f>
        <v>197</v>
      </c>
      <c r="E15" s="285"/>
    </row>
    <row r="16" spans="2:6" x14ac:dyDescent="0.3">
      <c r="B16" s="11" t="str">
        <f>'Soja huidig'!B15</f>
        <v>Zaaien</v>
      </c>
      <c r="C16" s="48">
        <f>'Soja huidig'!C15</f>
        <v>80</v>
      </c>
      <c r="D16" s="103">
        <f>IF('Soja huidig'!D15=0,'Soja huidig'!C15,'Soja huidig'!D15)</f>
        <v>80</v>
      </c>
      <c r="E16" s="285"/>
    </row>
    <row r="17" spans="2:7" x14ac:dyDescent="0.3">
      <c r="B17" s="11" t="str">
        <f>'Soja huidig'!B16</f>
        <v>Zaaizaad</v>
      </c>
      <c r="C17" s="48">
        <f>'Soja huidig'!C16</f>
        <v>290</v>
      </c>
      <c r="D17" s="103">
        <f>IF('Soja huidig'!D16=0,'Soja huidig'!C16,'Soja huidig'!D16)</f>
        <v>290</v>
      </c>
      <c r="E17" s="285"/>
    </row>
    <row r="18" spans="2:7" x14ac:dyDescent="0.3">
      <c r="B18" s="224" t="str">
        <f>'Soja huidig'!B17</f>
        <v>Kosten per jaar</v>
      </c>
      <c r="C18" s="306">
        <f>'Soja huidig'!C17</f>
        <v>567</v>
      </c>
      <c r="D18" s="105">
        <f>IF('Soja huidig'!D17=0,'Soja huidig'!C17,'Soja huidig'!D17)</f>
        <v>567</v>
      </c>
      <c r="E18" s="308">
        <f>IF(E15=0,C15,E15)+IF(E16=0,C16,E16)+IF(E17=0,C17,E17)</f>
        <v>567</v>
      </c>
    </row>
    <row r="19" spans="2:7" x14ac:dyDescent="0.3">
      <c r="B19" s="200"/>
      <c r="C19" s="200"/>
      <c r="D19" s="302"/>
      <c r="E19" s="200"/>
    </row>
    <row r="20" spans="2:7" x14ac:dyDescent="0.3">
      <c r="B20" s="193" t="str">
        <f>'Soja huidig'!B19</f>
        <v>Bemesten</v>
      </c>
      <c r="C20" s="193"/>
      <c r="D20" s="305"/>
      <c r="E20" s="193"/>
    </row>
    <row r="21" spans="2:7" x14ac:dyDescent="0.3">
      <c r="B21" s="11" t="str">
        <f>'Soja huidig'!B20</f>
        <v>Dierlijke mest uitrijden</v>
      </c>
      <c r="C21" s="48">
        <f>'Soja huidig'!C20</f>
        <v>67</v>
      </c>
      <c r="D21" s="103">
        <f>IF('Soja huidig'!D20=0,'Soja huidig'!C20,'Soja huidig'!D20)</f>
        <v>67</v>
      </c>
      <c r="E21" s="285"/>
    </row>
    <row r="22" spans="2:7" x14ac:dyDescent="0.3">
      <c r="B22" s="11" t="str">
        <f>'Soja huidig'!B21</f>
        <v>Kunstmest aanvoer (of dergelijken)</v>
      </c>
      <c r="C22" s="48">
        <f>'Soja huidig'!C21</f>
        <v>77</v>
      </c>
      <c r="D22" s="103">
        <f>IF('Soja huidig'!D21=0,'Soja huidig'!C21,'Soja huidig'!D21)</f>
        <v>77</v>
      </c>
      <c r="E22" s="285"/>
    </row>
    <row r="23" spans="2:7" x14ac:dyDescent="0.3">
      <c r="B23" s="11" t="str">
        <f>'Soja huidig'!B22</f>
        <v>Kunstmest strooien</v>
      </c>
      <c r="C23" s="48">
        <f>'Soja huidig'!C22</f>
        <v>25</v>
      </c>
      <c r="D23" s="103">
        <f>IF('Soja huidig'!D22=0,'Soja huidig'!C22,'Soja huidig'!D22)</f>
        <v>25</v>
      </c>
      <c r="E23" s="285"/>
    </row>
    <row r="24" spans="2:7" x14ac:dyDescent="0.3">
      <c r="B24" s="224" t="str">
        <f>'Soja huidig'!B23</f>
        <v>Kosten per jaar</v>
      </c>
      <c r="C24" s="306">
        <f>'Soja huidig'!C23</f>
        <v>169</v>
      </c>
      <c r="D24" s="105">
        <f>IF('Soja huidig'!D23=0,'Soja huidig'!C23,'Soja huidig'!D23)</f>
        <v>169</v>
      </c>
      <c r="E24" s="308">
        <f>IF(E21=0,C21,E21)+IF(E22=0,C22,E22)+IF(E23=0,C23,E23)</f>
        <v>169</v>
      </c>
    </row>
    <row r="25" spans="2:7" x14ac:dyDescent="0.3">
      <c r="B25" s="200"/>
      <c r="C25" s="200"/>
      <c r="D25" s="302"/>
      <c r="E25" s="200"/>
    </row>
    <row r="26" spans="2:7" x14ac:dyDescent="0.3">
      <c r="B26" s="193" t="str">
        <f>'Soja huidig'!B25</f>
        <v>Gewasbescherming</v>
      </c>
      <c r="C26" s="193"/>
      <c r="D26" s="305"/>
      <c r="E26" s="193"/>
    </row>
    <row r="27" spans="2:7" x14ac:dyDescent="0.3">
      <c r="B27" s="11" t="str">
        <f>'Soja huidig'!B26</f>
        <v>Spuiten</v>
      </c>
      <c r="C27" s="48">
        <f>'Soja huidig'!C26</f>
        <v>80</v>
      </c>
      <c r="D27" s="103">
        <f>IF('Soja huidig'!D26=0,'Soja huidig'!C26,'Soja huidig'!D26)</f>
        <v>80</v>
      </c>
      <c r="E27" s="285"/>
    </row>
    <row r="28" spans="2:7" x14ac:dyDescent="0.3">
      <c r="B28" s="11" t="str">
        <f>'Soja huidig'!B27</f>
        <v>Gewasbeschermingsmiddelen</v>
      </c>
      <c r="C28" s="48">
        <f>'Soja huidig'!C27</f>
        <v>126</v>
      </c>
      <c r="D28" s="103">
        <f>IF('Soja huidig'!D27=0,'Soja huidig'!C27,'Soja huidig'!D27)</f>
        <v>126</v>
      </c>
      <c r="E28" s="285"/>
    </row>
    <row r="29" spans="2:7" x14ac:dyDescent="0.3">
      <c r="B29" s="224" t="str">
        <f>'Soja huidig'!B28</f>
        <v>Kosten per jaar</v>
      </c>
      <c r="C29" s="306">
        <f>'Soja huidig'!C28</f>
        <v>206</v>
      </c>
      <c r="D29" s="105">
        <f>IF('Soja huidig'!D28=0,'Soja huidig'!C28,'Soja huidig'!D28)</f>
        <v>206</v>
      </c>
      <c r="E29" s="308">
        <f>IF(E27=0,C27,E27)+IF(E28=0,C28,E28)</f>
        <v>206</v>
      </c>
    </row>
    <row r="30" spans="2:7" x14ac:dyDescent="0.3">
      <c r="B30" s="200"/>
      <c r="C30" s="200"/>
      <c r="D30" s="302"/>
      <c r="E30" s="200"/>
    </row>
    <row r="31" spans="2:7" x14ac:dyDescent="0.3">
      <c r="B31" s="193" t="str">
        <f>'Soja huidig'!B30</f>
        <v>Oogsten</v>
      </c>
      <c r="C31" s="193"/>
      <c r="D31" s="305"/>
      <c r="E31" s="193"/>
    </row>
    <row r="32" spans="2:7" x14ac:dyDescent="0.3">
      <c r="B32" s="11" t="str">
        <f>'Soja huidig'!B31</f>
        <v>Oogsten</v>
      </c>
      <c r="C32" s="48">
        <f>'Soja huidig'!C31</f>
        <v>165</v>
      </c>
      <c r="D32" s="103">
        <f>IF('Soja huidig'!D31=0,'Soja huidig'!C31,'Soja huidig'!D31)</f>
        <v>165</v>
      </c>
      <c r="E32" s="285"/>
      <c r="G32" t="s">
        <v>55</v>
      </c>
    </row>
    <row r="33" spans="2:5" x14ac:dyDescent="0.3">
      <c r="B33" s="11" t="str">
        <f>'Soja huidig'!B32</f>
        <v>Toevoegmiddelen</v>
      </c>
      <c r="C33" s="48">
        <f>'Soja huidig'!C32</f>
        <v>0</v>
      </c>
      <c r="D33" s="103">
        <f>IF('Soja huidig'!D32=0,'Soja huidig'!C32,'Soja huidig'!D32)</f>
        <v>0</v>
      </c>
      <c r="E33" s="285"/>
    </row>
    <row r="34" spans="2:5" x14ac:dyDescent="0.3">
      <c r="B34" s="224" t="str">
        <f>'Soja huidig'!B33</f>
        <v>Kosten per jaar</v>
      </c>
      <c r="C34" s="306">
        <f>'Soja huidig'!C33</f>
        <v>165</v>
      </c>
      <c r="D34" s="105">
        <f>IF('Soja huidig'!D33=0,'Soja huidig'!C33,'Soja huidig'!D33)</f>
        <v>165</v>
      </c>
      <c r="E34" s="308">
        <f>IF(E32=0,C32,E32)+IF(E33=0,C33,E33)</f>
        <v>165</v>
      </c>
    </row>
    <row r="35" spans="2:5" x14ac:dyDescent="0.3">
      <c r="B35" s="200"/>
      <c r="C35" s="200"/>
      <c r="D35" s="302"/>
      <c r="E35" s="200"/>
    </row>
    <row r="36" spans="2:5" x14ac:dyDescent="0.3">
      <c r="B36" s="11" t="str">
        <f>'Soja huidig'!B35</f>
        <v>Kosten per Ha</v>
      </c>
      <c r="C36" s="48">
        <f>'Soja huidig'!C35</f>
        <v>1107</v>
      </c>
      <c r="D36" s="103">
        <f>IF('Soja huidig'!D35=0,'Soja huidig'!C35,'Soja huidig'!D35)</f>
        <v>1107</v>
      </c>
      <c r="E36" s="48">
        <f>E34+E29+E24+E18</f>
        <v>1107</v>
      </c>
    </row>
    <row r="37" spans="2:5" x14ac:dyDescent="0.3">
      <c r="B37" s="11" t="str">
        <f>'Soja huidig'!B36</f>
        <v>Kosten per KG DS</v>
      </c>
      <c r="C37" s="47">
        <f>'Soja huidig'!C36</f>
        <v>0.40254545454545454</v>
      </c>
      <c r="D37" s="102">
        <f>IF('Soja huidig'!D36=0,'Soja huidig'!C36,'Soja huidig'!D36)</f>
        <v>0.40254545454545454</v>
      </c>
      <c r="E37" s="47">
        <f>IF(E10=0,E36/C10,E36/E10)</f>
        <v>0.40254545454545454</v>
      </c>
    </row>
    <row r="38" spans="2:5" x14ac:dyDescent="0.3">
      <c r="B38" s="11" t="str">
        <f>'Soja huidig'!B37</f>
        <v>Kosten per kVEM</v>
      </c>
      <c r="C38" s="47">
        <f>'Soja huidig'!C37</f>
        <v>0.40254545454545454</v>
      </c>
      <c r="D38" s="102">
        <f>IF('Soja huidig'!D37=0,'Soja huidig'!C37,'Soja huidig'!D37)</f>
        <v>0.40254545454545454</v>
      </c>
      <c r="E38" s="47">
        <f>IF(E10=0,IF(E11=0,E36/(C10*C11),E36/(C10*E11)),IF(E11=0,E36/(E10*C11),E36/(E10*E11)))*1000</f>
        <v>0.40254545454545454</v>
      </c>
    </row>
  </sheetData>
  <sheetProtection sheet="1" objects="1" scenarios="1" selectLockedCells="1"/>
  <mergeCells count="1">
    <mergeCell ref="B2:E3"/>
  </mergeCells>
  <conditionalFormatting sqref="D10:D12 D15:D38">
    <cfRule type="expression" dxfId="13" priority="127">
      <formula>$B$5=2</formula>
    </cfRule>
  </conditionalFormatting>
  <conditionalFormatting sqref="E10:E12 E15:E38">
    <cfRule type="expression" dxfId="12" priority="129">
      <formula>$B$5&lt;3</formula>
    </cfRule>
  </conditionalFormatting>
  <conditionalFormatting sqref="E9 E14">
    <cfRule type="expression" dxfId="11" priority="2">
      <formula>$B$5=3</formula>
    </cfRule>
  </conditionalFormatting>
  <conditionalFormatting sqref="D9 D14 D18 D20 D24 D26 D29 D31 D34">
    <cfRule type="expression" dxfId="10" priority="1">
      <formula>$B$5=2</formula>
    </cfRule>
  </conditionalFormatting>
  <dataValidations count="1">
    <dataValidation type="decimal" operator="greaterThanOrEqual" allowBlank="1" showInputMessage="1" showErrorMessage="1" errorTitle="Fout" error="Typ een getal groter of gelijk aan 0." sqref="E10:E12 E15:E17 E21:E23 E27 E28 E32 E33" xr:uid="{166B10AE-9DEC-4DC5-A11D-1B1AECFA8D24}">
      <formula1>0</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8913" r:id="rId4" name="Option Button 1">
              <controlPr defaultSize="0" autoFill="0" autoLine="0" autoPict="0">
                <anchor moveWithCells="1">
                  <from>
                    <xdr:col>1</xdr:col>
                    <xdr:colOff>0</xdr:colOff>
                    <xdr:row>4</xdr:row>
                    <xdr:rowOff>0</xdr:rowOff>
                  </from>
                  <to>
                    <xdr:col>2</xdr:col>
                    <xdr:colOff>0</xdr:colOff>
                    <xdr:row>5</xdr:row>
                    <xdr:rowOff>7620</xdr:rowOff>
                  </to>
                </anchor>
              </controlPr>
            </control>
          </mc:Choice>
        </mc:AlternateContent>
        <mc:AlternateContent xmlns:mc="http://schemas.openxmlformats.org/markup-compatibility/2006">
          <mc:Choice Requires="x14">
            <control shapeId="38914" r:id="rId5" name="Option Button 2">
              <controlPr defaultSize="0" autoFill="0" autoLine="0" autoPict="0">
                <anchor moveWithCells="1">
                  <from>
                    <xdr:col>1</xdr:col>
                    <xdr:colOff>0</xdr:colOff>
                    <xdr:row>5</xdr:row>
                    <xdr:rowOff>0</xdr:rowOff>
                  </from>
                  <to>
                    <xdr:col>2</xdr:col>
                    <xdr:colOff>0</xdr:colOff>
                    <xdr:row>6</xdr:row>
                    <xdr:rowOff>0</xdr:rowOff>
                  </to>
                </anchor>
              </controlPr>
            </control>
          </mc:Choice>
        </mc:AlternateContent>
        <mc:AlternateContent xmlns:mc="http://schemas.openxmlformats.org/markup-compatibility/2006">
          <mc:Choice Requires="x14">
            <control shapeId="38915" r:id="rId6" name="Option Button 3">
              <controlPr defaultSize="0" autoFill="0" autoLine="0" autoPict="0">
                <anchor moveWithCells="1">
                  <from>
                    <xdr:col>1</xdr:col>
                    <xdr:colOff>0</xdr:colOff>
                    <xdr:row>6</xdr:row>
                    <xdr:rowOff>0</xdr:rowOff>
                  </from>
                  <to>
                    <xdr:col>2</xdr:col>
                    <xdr:colOff>0</xdr:colOff>
                    <xdr:row>7</xdr:row>
                    <xdr:rowOff>0</xdr:rowOff>
                  </to>
                </anchor>
              </controlPr>
            </control>
          </mc:Choice>
        </mc:AlternateContent>
      </controls>
    </mc:Choice>
  </mc:AlternateContent>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B1490-33FF-44D1-AE0B-784DA794BFFA}">
  <sheetPr codeName="Blad32">
    <tabColor theme="8" tint="0.59999389629810485"/>
  </sheetPr>
  <dimension ref="B2:G38"/>
  <sheetViews>
    <sheetView showGridLines="0" zoomScale="80" zoomScaleNormal="80" workbookViewId="0">
      <selection activeCell="E33" activeCellId="6" sqref="E10:E12 E15:E17 E21:E23 E27 E28 E32 E33"/>
    </sheetView>
  </sheetViews>
  <sheetFormatPr defaultRowHeight="14.4" x14ac:dyDescent="0.3"/>
  <cols>
    <col min="1" max="1" width="2.77734375" customWidth="1"/>
    <col min="2" max="2" width="30.5546875" customWidth="1"/>
    <col min="3" max="5" width="16.77734375" customWidth="1"/>
    <col min="6" max="6" width="2.6640625" customWidth="1"/>
  </cols>
  <sheetData>
    <row r="2" spans="2:6" x14ac:dyDescent="0.3">
      <c r="B2" s="456" t="s">
        <v>213</v>
      </c>
      <c r="C2" s="456"/>
      <c r="D2" s="456"/>
      <c r="E2" s="456"/>
    </row>
    <row r="3" spans="2:6" x14ac:dyDescent="0.3">
      <c r="B3" s="456"/>
      <c r="C3" s="456"/>
      <c r="D3" s="456"/>
      <c r="E3" s="456"/>
    </row>
    <row r="5" spans="2:6" x14ac:dyDescent="0.3">
      <c r="B5" s="277">
        <v>1</v>
      </c>
    </row>
    <row r="6" spans="2:6" x14ac:dyDescent="0.3">
      <c r="B6" s="240"/>
    </row>
    <row r="7" spans="2:6" x14ac:dyDescent="0.3">
      <c r="B7" s="240"/>
    </row>
    <row r="9" spans="2:6" x14ac:dyDescent="0.3">
      <c r="B9" s="193"/>
      <c r="C9" s="193" t="str">
        <f>'MKS huidig'!C8</f>
        <v>Gem. opbrengst</v>
      </c>
      <c r="D9" s="228" t="s">
        <v>133</v>
      </c>
      <c r="E9" s="228" t="s">
        <v>102</v>
      </c>
    </row>
    <row r="10" spans="2:6" x14ac:dyDescent="0.3">
      <c r="B10" s="11" t="str">
        <f>'MKS huidig'!B9</f>
        <v>Opbrengst in KG DS</v>
      </c>
      <c r="C10" s="44">
        <f>'MKS huidig'!C9</f>
        <v>11000</v>
      </c>
      <c r="D10" s="68">
        <f>IF('MKS huidig'!D9=0,'MKS huidig'!C9,'MKS huidig'!D9)</f>
        <v>11000</v>
      </c>
      <c r="E10" s="287"/>
    </row>
    <row r="11" spans="2:6" x14ac:dyDescent="0.3">
      <c r="B11" s="11" t="str">
        <f>'MKS huidig'!B10</f>
        <v>VEM per KG DS</v>
      </c>
      <c r="C11" s="11">
        <f>'MKS huidig'!C10</f>
        <v>1150</v>
      </c>
      <c r="D11" s="23">
        <f>IF('MKS huidig'!D10=0,'MKS huidig'!C10,'MKS huidig'!D10)</f>
        <v>1150</v>
      </c>
      <c r="E11" s="280"/>
    </row>
    <row r="12" spans="2:6" x14ac:dyDescent="0.3">
      <c r="B12" s="11" t="str">
        <f>'MKS huidig'!B11</f>
        <v>DVE per KG DS</v>
      </c>
      <c r="C12" s="11">
        <f>'MKS huidig'!C11</f>
        <v>66</v>
      </c>
      <c r="D12" s="23">
        <f>IF('MKS huidig'!D11=0,'MKS huidig'!C11,'MKS huidig'!D11)</f>
        <v>66</v>
      </c>
      <c r="E12" s="280"/>
    </row>
    <row r="13" spans="2:6" x14ac:dyDescent="0.3">
      <c r="B13" s="200"/>
      <c r="C13" s="200"/>
      <c r="D13" s="200"/>
      <c r="E13" s="200"/>
    </row>
    <row r="14" spans="2:6" x14ac:dyDescent="0.3">
      <c r="B14" s="193" t="str">
        <f>'MKS huidig'!B13</f>
        <v>Inzaaien</v>
      </c>
      <c r="C14" s="193" t="str">
        <f>'MKS huidig'!C13</f>
        <v>Gem. kosten</v>
      </c>
      <c r="D14" s="228" t="s">
        <v>133</v>
      </c>
      <c r="E14" s="228" t="s">
        <v>102</v>
      </c>
    </row>
    <row r="15" spans="2:6" x14ac:dyDescent="0.3">
      <c r="B15" s="11" t="str">
        <f>'MKS huidig'!B14</f>
        <v>Ploegen/zaaiklaar maken</v>
      </c>
      <c r="C15" s="48">
        <f>'MKS huidig'!C14</f>
        <v>197</v>
      </c>
      <c r="D15" s="103">
        <f>IF('MKS huidig'!D14=0,'MKS huidig'!C14,'MKS huidig'!D14)</f>
        <v>197</v>
      </c>
      <c r="E15" s="285"/>
    </row>
    <row r="16" spans="2:6" x14ac:dyDescent="0.3">
      <c r="B16" s="11" t="str">
        <f>'MKS huidig'!B15</f>
        <v>Zaaien</v>
      </c>
      <c r="C16" s="48">
        <f>'MKS huidig'!C15</f>
        <v>80</v>
      </c>
      <c r="D16" s="103">
        <f>IF('MKS huidig'!D15=0,'MKS huidig'!C15,'MKS huidig'!D15)</f>
        <v>80</v>
      </c>
      <c r="E16" s="285"/>
    </row>
    <row r="17" spans="2:7" x14ac:dyDescent="0.3">
      <c r="B17" s="11" t="str">
        <f>'MKS huidig'!B16</f>
        <v>Zaaizaad</v>
      </c>
      <c r="C17" s="48">
        <f>'MKS huidig'!C16</f>
        <v>205</v>
      </c>
      <c r="D17" s="103">
        <f>IF('MKS huidig'!D16=0,'MKS huidig'!C16,'MKS huidig'!D16)</f>
        <v>205</v>
      </c>
      <c r="E17" s="285"/>
    </row>
    <row r="18" spans="2:7" x14ac:dyDescent="0.3">
      <c r="B18" s="224" t="str">
        <f>'MKS huidig'!B17</f>
        <v>Kosten per jaar</v>
      </c>
      <c r="C18" s="306">
        <f>'MKS huidig'!C17</f>
        <v>482</v>
      </c>
      <c r="D18" s="105">
        <f>IF('MKS huidig'!D17=0,'MKS huidig'!C17,'MKS huidig'!D17)</f>
        <v>482</v>
      </c>
      <c r="E18" s="308">
        <f>IF(E15=0,C15,E15)+IF(E16=0,C16,E16)+IF(E17=0,C17,E17)</f>
        <v>482</v>
      </c>
    </row>
    <row r="19" spans="2:7" x14ac:dyDescent="0.3">
      <c r="B19" s="200"/>
      <c r="C19" s="200"/>
      <c r="D19" s="302"/>
      <c r="E19" s="200"/>
    </row>
    <row r="20" spans="2:7" x14ac:dyDescent="0.3">
      <c r="B20" s="193" t="str">
        <f>'MKS huidig'!B19</f>
        <v>Bemesten</v>
      </c>
      <c r="C20" s="193"/>
      <c r="D20" s="305"/>
      <c r="E20" s="193"/>
    </row>
    <row r="21" spans="2:7" x14ac:dyDescent="0.3">
      <c r="B21" s="11" t="str">
        <f>'MKS huidig'!B20</f>
        <v>Dierlijke mest uitrijden</v>
      </c>
      <c r="C21" s="48">
        <f>'MKS huidig'!C20</f>
        <v>125</v>
      </c>
      <c r="D21" s="103">
        <f>IF('MKS huidig'!D20=0,'MKS huidig'!C20,'MKS huidig'!D20)</f>
        <v>125</v>
      </c>
      <c r="E21" s="285"/>
    </row>
    <row r="22" spans="2:7" x14ac:dyDescent="0.3">
      <c r="B22" s="11" t="str">
        <f>'MKS huidig'!B21</f>
        <v>Kunstmest aanvoer (of dergelijken)</v>
      </c>
      <c r="C22" s="48">
        <f>'MKS huidig'!C21</f>
        <v>23</v>
      </c>
      <c r="D22" s="103">
        <f>IF('MKS huidig'!D21=0,'MKS huidig'!C21,'MKS huidig'!D21)</f>
        <v>23</v>
      </c>
      <c r="E22" s="285"/>
    </row>
    <row r="23" spans="2:7" x14ac:dyDescent="0.3">
      <c r="B23" s="11" t="str">
        <f>'MKS huidig'!B22</f>
        <v>Kunstmest strooien</v>
      </c>
      <c r="C23" s="48">
        <f>'MKS huidig'!C22</f>
        <v>25</v>
      </c>
      <c r="D23" s="103">
        <f>IF('MKS huidig'!D22=0,'MKS huidig'!C22,'MKS huidig'!D22)</f>
        <v>25</v>
      </c>
      <c r="E23" s="285"/>
    </row>
    <row r="24" spans="2:7" x14ac:dyDescent="0.3">
      <c r="B24" s="224" t="str">
        <f>'MKS huidig'!B23</f>
        <v>Kosten per jaar</v>
      </c>
      <c r="C24" s="306">
        <f>'MKS huidig'!C23</f>
        <v>173</v>
      </c>
      <c r="D24" s="105">
        <f>IF('MKS huidig'!D23=0,'MKS huidig'!C23,'MKS huidig'!D23)</f>
        <v>173</v>
      </c>
      <c r="E24" s="308">
        <f>IF(E21=0,C21,E21)+IF(E22=0,C22,E22)+IF(E23=0,C23,E23)</f>
        <v>173</v>
      </c>
    </row>
    <row r="25" spans="2:7" x14ac:dyDescent="0.3">
      <c r="B25" s="200"/>
      <c r="C25" s="200"/>
      <c r="D25" s="302"/>
      <c r="E25" s="200"/>
    </row>
    <row r="26" spans="2:7" x14ac:dyDescent="0.3">
      <c r="B26" s="193" t="str">
        <f>'MKS huidig'!B25</f>
        <v>Gewasbescherming</v>
      </c>
      <c r="C26" s="193"/>
      <c r="D26" s="305"/>
      <c r="E26" s="193"/>
    </row>
    <row r="27" spans="2:7" x14ac:dyDescent="0.3">
      <c r="B27" s="11" t="str">
        <f>'MKS huidig'!B26</f>
        <v>Spuiten</v>
      </c>
      <c r="C27" s="48">
        <f>'MKS huidig'!C26</f>
        <v>40</v>
      </c>
      <c r="D27" s="103">
        <f>IF('MKS huidig'!D26=0,'MKS huidig'!C26,'MKS huidig'!D26)</f>
        <v>40</v>
      </c>
      <c r="E27" s="285"/>
    </row>
    <row r="28" spans="2:7" x14ac:dyDescent="0.3">
      <c r="B28" s="11" t="str">
        <f>'MKS huidig'!B27</f>
        <v>Gewasbeschermingsmiddelen</v>
      </c>
      <c r="C28" s="48">
        <f>'MKS huidig'!C27</f>
        <v>76</v>
      </c>
      <c r="D28" s="103">
        <f>IF('MKS huidig'!D27=0,'MKS huidig'!C27,'MKS huidig'!D27)</f>
        <v>76</v>
      </c>
      <c r="E28" s="285"/>
    </row>
    <row r="29" spans="2:7" ht="16.5" customHeight="1" x14ac:dyDescent="0.3">
      <c r="B29" s="224" t="str">
        <f>'MKS huidig'!B28</f>
        <v>Kosten per jaar</v>
      </c>
      <c r="C29" s="306">
        <f>'MKS huidig'!C28</f>
        <v>116</v>
      </c>
      <c r="D29" s="105">
        <f>IF('MKS huidig'!D28=0,'MKS huidig'!C28,'MKS huidig'!D28)</f>
        <v>116</v>
      </c>
      <c r="E29" s="308">
        <f>IF(E27=0,C27,E27)+IF(E28=0,C28,E28)</f>
        <v>116</v>
      </c>
    </row>
    <row r="30" spans="2:7" x14ac:dyDescent="0.3">
      <c r="B30" s="200"/>
      <c r="C30" s="200"/>
      <c r="D30" s="302"/>
      <c r="E30" s="200"/>
    </row>
    <row r="31" spans="2:7" x14ac:dyDescent="0.3">
      <c r="B31" s="193" t="str">
        <f>'MKS huidig'!B30</f>
        <v>Oogsten</v>
      </c>
      <c r="C31" s="193"/>
      <c r="D31" s="305"/>
      <c r="E31" s="193"/>
    </row>
    <row r="32" spans="2:7" x14ac:dyDescent="0.3">
      <c r="B32" s="11" t="str">
        <f>'MKS huidig'!B31</f>
        <v>Oogsten</v>
      </c>
      <c r="C32" s="48">
        <f>'MKS huidig'!C31</f>
        <v>468</v>
      </c>
      <c r="D32" s="103">
        <f>IF('MKS huidig'!D31=0,'MKS huidig'!C31,'MKS huidig'!D31)</f>
        <v>468</v>
      </c>
      <c r="E32" s="285"/>
      <c r="G32" t="s">
        <v>55</v>
      </c>
    </row>
    <row r="33" spans="2:5" x14ac:dyDescent="0.3">
      <c r="B33" s="11" t="str">
        <f>'MKS huidig'!B32</f>
        <v>Toevoegmiddelen</v>
      </c>
      <c r="C33" s="48">
        <f>'MKS huidig'!C32</f>
        <v>0</v>
      </c>
      <c r="D33" s="103">
        <f>IF('MKS huidig'!D32=0,'MKS huidig'!C32,'MKS huidig'!D32)</f>
        <v>0</v>
      </c>
      <c r="E33" s="285"/>
    </row>
    <row r="34" spans="2:5" x14ac:dyDescent="0.3">
      <c r="B34" s="224" t="str">
        <f>'MKS huidig'!B33</f>
        <v>Kosten per jaar</v>
      </c>
      <c r="C34" s="306">
        <f>'MKS huidig'!C33</f>
        <v>468</v>
      </c>
      <c r="D34" s="105">
        <f>IF('MKS huidig'!D33=0,'MKS huidig'!C33,'MKS huidig'!D33)</f>
        <v>468</v>
      </c>
      <c r="E34" s="308">
        <f>IF(E32=0,C32,E32)+IF(E33=0,C33,E33)</f>
        <v>468</v>
      </c>
    </row>
    <row r="35" spans="2:5" x14ac:dyDescent="0.3">
      <c r="B35" s="200"/>
      <c r="C35" s="200"/>
      <c r="D35" s="302"/>
      <c r="E35" s="200"/>
    </row>
    <row r="36" spans="2:5" x14ac:dyDescent="0.3">
      <c r="B36" s="11" t="str">
        <f>'MKS huidig'!B35</f>
        <v>Kosten per Ha</v>
      </c>
      <c r="C36" s="48">
        <f>'MKS huidig'!C35</f>
        <v>1239</v>
      </c>
      <c r="D36" s="103">
        <f>IF('MKS huidig'!D35=0,'MKS huidig'!C35,'MKS huidig'!D35)</f>
        <v>1239</v>
      </c>
      <c r="E36" s="48">
        <f>E34+E29+E24+E18</f>
        <v>1239</v>
      </c>
    </row>
    <row r="37" spans="2:5" x14ac:dyDescent="0.3">
      <c r="B37" s="11" t="str">
        <f>'MKS huidig'!B36</f>
        <v>Kosten per KG DS</v>
      </c>
      <c r="C37" s="47">
        <f>'MKS huidig'!C36</f>
        <v>0.11263636363636363</v>
      </c>
      <c r="D37" s="102">
        <f>IF('MKS huidig'!D36=0,'MKS huidig'!C36,'MKS huidig'!D36)</f>
        <v>0.11263636363636363</v>
      </c>
      <c r="E37" s="47">
        <f>IF(E10=0,E36/C10,E36/E10)</f>
        <v>0.11263636363636363</v>
      </c>
    </row>
    <row r="38" spans="2:5" x14ac:dyDescent="0.3">
      <c r="B38" s="11" t="str">
        <f>'MKS huidig'!B37</f>
        <v>Kosten per kVEM</v>
      </c>
      <c r="C38" s="47">
        <f>'MKS huidig'!C37</f>
        <v>9.7944664031620554E-2</v>
      </c>
      <c r="D38" s="102">
        <f>IF('MKS huidig'!D37=0,'MKS huidig'!C37,'MKS huidig'!D37)</f>
        <v>9.7944664031620554E-2</v>
      </c>
      <c r="E38" s="47">
        <f>IF(E10=0,IF(E11=0,E36/(C10*C11),E36/(C10*E11)),IF(E11=0,E36/(E10*C11),E36/(E10*E11)))*1000</f>
        <v>9.7944664031620554E-2</v>
      </c>
    </row>
  </sheetData>
  <sheetProtection sheet="1" objects="1" scenarios="1" selectLockedCells="1"/>
  <mergeCells count="1">
    <mergeCell ref="B2:E3"/>
  </mergeCells>
  <conditionalFormatting sqref="D10:D12 D15:D38">
    <cfRule type="expression" dxfId="9" priority="130">
      <formula>$B$5=2</formula>
    </cfRule>
  </conditionalFormatting>
  <conditionalFormatting sqref="E10:E12 E15:E38">
    <cfRule type="expression" dxfId="8" priority="132">
      <formula>$B$5&lt;3</formula>
    </cfRule>
  </conditionalFormatting>
  <conditionalFormatting sqref="E9 E14">
    <cfRule type="expression" dxfId="7" priority="2">
      <formula>$B$5=3</formula>
    </cfRule>
  </conditionalFormatting>
  <conditionalFormatting sqref="D9 D14 D18 D20 D24 D26 D29 D31 D34">
    <cfRule type="expression" dxfId="6" priority="1">
      <formula>$B$5=2</formula>
    </cfRule>
  </conditionalFormatting>
  <dataValidations count="1">
    <dataValidation type="decimal" operator="greaterThanOrEqual" allowBlank="1" showInputMessage="1" showErrorMessage="1" errorTitle="Fout" error="Typ een getal groter of gelijk aan 0." sqref="E10:E12 E15:E17 E21:E23 E27 E28 E32 E33" xr:uid="{C0446A7E-1A74-4CCD-888E-81070BAAF96F}">
      <formula1>0</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9937" r:id="rId4" name="Option Button 1">
              <controlPr defaultSize="0" autoFill="0" autoLine="0" autoPict="0">
                <anchor moveWithCells="1">
                  <from>
                    <xdr:col>1</xdr:col>
                    <xdr:colOff>0</xdr:colOff>
                    <xdr:row>4</xdr:row>
                    <xdr:rowOff>0</xdr:rowOff>
                  </from>
                  <to>
                    <xdr:col>2</xdr:col>
                    <xdr:colOff>0</xdr:colOff>
                    <xdr:row>5</xdr:row>
                    <xdr:rowOff>7620</xdr:rowOff>
                  </to>
                </anchor>
              </controlPr>
            </control>
          </mc:Choice>
        </mc:AlternateContent>
        <mc:AlternateContent xmlns:mc="http://schemas.openxmlformats.org/markup-compatibility/2006">
          <mc:Choice Requires="x14">
            <control shapeId="39938" r:id="rId5" name="Option Button 2">
              <controlPr defaultSize="0" autoFill="0" autoLine="0" autoPict="0">
                <anchor moveWithCells="1">
                  <from>
                    <xdr:col>1</xdr:col>
                    <xdr:colOff>0</xdr:colOff>
                    <xdr:row>5</xdr:row>
                    <xdr:rowOff>0</xdr:rowOff>
                  </from>
                  <to>
                    <xdr:col>2</xdr:col>
                    <xdr:colOff>0</xdr:colOff>
                    <xdr:row>6</xdr:row>
                    <xdr:rowOff>0</xdr:rowOff>
                  </to>
                </anchor>
              </controlPr>
            </control>
          </mc:Choice>
        </mc:AlternateContent>
        <mc:AlternateContent xmlns:mc="http://schemas.openxmlformats.org/markup-compatibility/2006">
          <mc:Choice Requires="x14">
            <control shapeId="39939" r:id="rId6" name="Option Button 3">
              <controlPr defaultSize="0" autoFill="0" autoLine="0" autoPict="0">
                <anchor moveWithCells="1">
                  <from>
                    <xdr:col>1</xdr:col>
                    <xdr:colOff>0</xdr:colOff>
                    <xdr:row>6</xdr:row>
                    <xdr:rowOff>0</xdr:rowOff>
                  </from>
                  <to>
                    <xdr:col>2</xdr:col>
                    <xdr:colOff>0</xdr:colOff>
                    <xdr:row>7</xdr:row>
                    <xdr:rowOff>0</xdr:rowOff>
                  </to>
                </anchor>
              </controlPr>
            </control>
          </mc:Choice>
        </mc:AlternateContent>
      </controls>
    </mc:Choice>
  </mc:AlternateContent>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4771F-A643-41E5-AC96-E569888A0BDE}">
  <sheetPr codeName="Blad33">
    <tabColor theme="8" tint="0.59999389629810485"/>
  </sheetPr>
  <dimension ref="B2:G38"/>
  <sheetViews>
    <sheetView showGridLines="0" zoomScale="80" zoomScaleNormal="80" workbookViewId="0">
      <selection activeCell="E33" activeCellId="9" sqref="E10:E12 E16:E17 E15 E21 E22 E23 E27 E28 E32 E33"/>
    </sheetView>
  </sheetViews>
  <sheetFormatPr defaultRowHeight="14.4" x14ac:dyDescent="0.3"/>
  <cols>
    <col min="1" max="1" width="2.77734375" customWidth="1"/>
    <col min="2" max="2" width="30.5546875" customWidth="1"/>
    <col min="3" max="5" width="16.77734375" customWidth="1"/>
    <col min="6" max="6" width="2.6640625" customWidth="1"/>
  </cols>
  <sheetData>
    <row r="2" spans="2:6" x14ac:dyDescent="0.3">
      <c r="B2" s="456" t="s">
        <v>212</v>
      </c>
      <c r="C2" s="456"/>
      <c r="D2" s="456"/>
      <c r="E2" s="456"/>
    </row>
    <row r="3" spans="2:6" x14ac:dyDescent="0.3">
      <c r="B3" s="456"/>
      <c r="C3" s="456"/>
      <c r="D3" s="456"/>
      <c r="E3" s="456"/>
    </row>
    <row r="5" spans="2:6" x14ac:dyDescent="0.3">
      <c r="B5" s="277">
        <v>1</v>
      </c>
    </row>
    <row r="6" spans="2:6" x14ac:dyDescent="0.3">
      <c r="B6" s="240"/>
    </row>
    <row r="7" spans="2:6" x14ac:dyDescent="0.3">
      <c r="B7" s="240"/>
    </row>
    <row r="9" spans="2:6" x14ac:dyDescent="0.3">
      <c r="B9" s="193"/>
      <c r="C9" s="193" t="str">
        <f>'CCM huidig'!C8</f>
        <v>Gem. opbrengst</v>
      </c>
      <c r="D9" s="228" t="s">
        <v>133</v>
      </c>
      <c r="E9" s="228" t="s">
        <v>102</v>
      </c>
    </row>
    <row r="10" spans="2:6" x14ac:dyDescent="0.3">
      <c r="B10" s="11" t="str">
        <f>'CCM huidig'!B9</f>
        <v>Opbrengst in KG DS</v>
      </c>
      <c r="C10" s="44">
        <f>'CCM huidig'!C9</f>
        <v>8800</v>
      </c>
      <c r="D10" s="68">
        <f>IF('CCM huidig'!D9=0,'CCM huidig'!C9,'CCM huidig'!D9)</f>
        <v>8800</v>
      </c>
      <c r="E10" s="287"/>
    </row>
    <row r="11" spans="2:6" x14ac:dyDescent="0.3">
      <c r="B11" s="11" t="str">
        <f>'CCM huidig'!B10</f>
        <v>VEM per KG DS</v>
      </c>
      <c r="C11" s="11">
        <f>'CCM huidig'!C10</f>
        <v>1200</v>
      </c>
      <c r="D11" s="23">
        <f>IF('CCM huidig'!D10=0,'CCM huidig'!C10,'CCM huidig'!D10)</f>
        <v>1200</v>
      </c>
      <c r="E11" s="280"/>
    </row>
    <row r="12" spans="2:6" x14ac:dyDescent="0.3">
      <c r="B12" s="11" t="str">
        <f>'CCM huidig'!B11</f>
        <v>DVE per KG DS</v>
      </c>
      <c r="C12" s="11">
        <f>'CCM huidig'!C11</f>
        <v>69</v>
      </c>
      <c r="D12" s="23">
        <f>IF('CCM huidig'!D11=0,'CCM huidig'!C11,'CCM huidig'!D11)</f>
        <v>69</v>
      </c>
      <c r="E12" s="280"/>
    </row>
    <row r="13" spans="2:6" x14ac:dyDescent="0.3">
      <c r="B13" s="200"/>
      <c r="C13" s="200"/>
      <c r="D13" s="200"/>
      <c r="E13" s="200"/>
    </row>
    <row r="14" spans="2:6" x14ac:dyDescent="0.3">
      <c r="B14" s="193" t="str">
        <f>'CCM huidig'!B13</f>
        <v>Inzaaien</v>
      </c>
      <c r="C14" s="193" t="str">
        <f>'CCM huidig'!C13</f>
        <v>Gem. kosten</v>
      </c>
      <c r="D14" s="228" t="s">
        <v>133</v>
      </c>
      <c r="E14" s="228" t="s">
        <v>102</v>
      </c>
    </row>
    <row r="15" spans="2:6" x14ac:dyDescent="0.3">
      <c r="B15" s="11" t="str">
        <f>'CCM huidig'!B14</f>
        <v>Ploegen/zaaiklaar maken</v>
      </c>
      <c r="C15" s="48">
        <f>'CCM huidig'!C14</f>
        <v>197</v>
      </c>
      <c r="D15" s="103">
        <f>IF('CCM huidig'!D14=0,'CCM huidig'!C14,'CCM huidig'!D14)</f>
        <v>197</v>
      </c>
      <c r="E15" s="285"/>
    </row>
    <row r="16" spans="2:6" x14ac:dyDescent="0.3">
      <c r="B16" s="11" t="str">
        <f>'CCM huidig'!B15</f>
        <v>Zaaien</v>
      </c>
      <c r="C16" s="48">
        <f>'CCM huidig'!C15</f>
        <v>80</v>
      </c>
      <c r="D16" s="103">
        <f>IF('CCM huidig'!D15=0,'CCM huidig'!C15,'CCM huidig'!D15)</f>
        <v>80</v>
      </c>
      <c r="E16" s="285"/>
    </row>
    <row r="17" spans="2:7" x14ac:dyDescent="0.3">
      <c r="B17" s="11" t="str">
        <f>'CCM huidig'!B16</f>
        <v>Zaaizaad</v>
      </c>
      <c r="C17" s="48">
        <f>'CCM huidig'!C16</f>
        <v>205</v>
      </c>
      <c r="D17" s="103">
        <f>IF('CCM huidig'!D16=0,'CCM huidig'!C16,'CCM huidig'!D16)</f>
        <v>205</v>
      </c>
      <c r="E17" s="285"/>
    </row>
    <row r="18" spans="2:7" x14ac:dyDescent="0.3">
      <c r="B18" s="224" t="str">
        <f>'CCM huidig'!B17</f>
        <v>Kosten per jaar</v>
      </c>
      <c r="C18" s="306">
        <f>'CCM huidig'!C17</f>
        <v>482</v>
      </c>
      <c r="D18" s="105">
        <f>IF('CCM huidig'!D17=0,'CCM huidig'!C17,'CCM huidig'!D17)</f>
        <v>482</v>
      </c>
      <c r="E18" s="308">
        <f>IF(E15=0,C15,E15)+IF(E16=0,C16,E16)+IF(E17=0,C17,E17)</f>
        <v>482</v>
      </c>
    </row>
    <row r="19" spans="2:7" x14ac:dyDescent="0.3">
      <c r="B19" s="200"/>
      <c r="C19" s="200"/>
      <c r="D19" s="302"/>
      <c r="E19" s="200"/>
    </row>
    <row r="20" spans="2:7" x14ac:dyDescent="0.3">
      <c r="B20" s="193" t="str">
        <f>'CCM huidig'!B19</f>
        <v>Bemesten</v>
      </c>
      <c r="C20" s="193"/>
      <c r="D20" s="305"/>
      <c r="E20" s="193"/>
    </row>
    <row r="21" spans="2:7" x14ac:dyDescent="0.3">
      <c r="B21" s="11" t="str">
        <f>'CCM huidig'!B20</f>
        <v>Dierlijke mest uitrijden</v>
      </c>
      <c r="C21" s="48">
        <f>'CCM huidig'!C20</f>
        <v>125</v>
      </c>
      <c r="D21" s="103">
        <f>IF('CCM huidig'!D20=0,'CCM huidig'!C20,'CCM huidig'!D20)</f>
        <v>125</v>
      </c>
      <c r="E21" s="285"/>
    </row>
    <row r="22" spans="2:7" x14ac:dyDescent="0.3">
      <c r="B22" s="11" t="str">
        <f>'CCM huidig'!B21</f>
        <v>Kunstmest aanvoer (of dergelijken)</v>
      </c>
      <c r="C22" s="48">
        <f>'CCM huidig'!C21</f>
        <v>23</v>
      </c>
      <c r="D22" s="103">
        <f>IF('CCM huidig'!D21=0,'CCM huidig'!C21,'CCM huidig'!D21)</f>
        <v>23</v>
      </c>
      <c r="E22" s="285"/>
    </row>
    <row r="23" spans="2:7" x14ac:dyDescent="0.3">
      <c r="B23" s="11" t="str">
        <f>'CCM huidig'!B22</f>
        <v>Kunstmest strooien</v>
      </c>
      <c r="C23" s="48">
        <f>'CCM huidig'!C22</f>
        <v>25</v>
      </c>
      <c r="D23" s="103">
        <f>IF('CCM huidig'!D22=0,'CCM huidig'!C22,'CCM huidig'!D22)</f>
        <v>25</v>
      </c>
      <c r="E23" s="285"/>
    </row>
    <row r="24" spans="2:7" x14ac:dyDescent="0.3">
      <c r="B24" s="224" t="str">
        <f>'CCM huidig'!B23</f>
        <v>Kosten per jaar</v>
      </c>
      <c r="C24" s="306">
        <f>'CCM huidig'!C23</f>
        <v>173</v>
      </c>
      <c r="D24" s="105">
        <f>IF('CCM huidig'!D23=0,'CCM huidig'!C23,'CCM huidig'!D23)</f>
        <v>173</v>
      </c>
      <c r="E24" s="308">
        <f>IF(E21=0,C21,E21)+IF(E22=0,C22,E22)+IF(E23=0,C23,E23)</f>
        <v>173</v>
      </c>
    </row>
    <row r="25" spans="2:7" x14ac:dyDescent="0.3">
      <c r="B25" s="200"/>
      <c r="C25" s="200"/>
      <c r="D25" s="302"/>
      <c r="E25" s="200"/>
    </row>
    <row r="26" spans="2:7" x14ac:dyDescent="0.3">
      <c r="B26" s="193" t="str">
        <f>'CCM huidig'!B25</f>
        <v>Gewasbescherming</v>
      </c>
      <c r="C26" s="193"/>
      <c r="D26" s="305"/>
      <c r="E26" s="193"/>
    </row>
    <row r="27" spans="2:7" x14ac:dyDescent="0.3">
      <c r="B27" s="11" t="str">
        <f>'CCM huidig'!B26</f>
        <v>Spuiten</v>
      </c>
      <c r="C27" s="48">
        <f>'CCM huidig'!C26</f>
        <v>40</v>
      </c>
      <c r="D27" s="103">
        <f>IF('CCM huidig'!D26=0,'CCM huidig'!C26,'CCM huidig'!D26)</f>
        <v>40</v>
      </c>
      <c r="E27" s="285"/>
    </row>
    <row r="28" spans="2:7" x14ac:dyDescent="0.3">
      <c r="B28" s="11" t="str">
        <f>'CCM huidig'!B27</f>
        <v>Gewasbeschermingsmiddelen</v>
      </c>
      <c r="C28" s="48">
        <f>'CCM huidig'!C27</f>
        <v>76</v>
      </c>
      <c r="D28" s="103">
        <f>IF('CCM huidig'!D27=0,'CCM huidig'!C27,'CCM huidig'!D27)</f>
        <v>76</v>
      </c>
      <c r="E28" s="285"/>
    </row>
    <row r="29" spans="2:7" x14ac:dyDescent="0.3">
      <c r="B29" s="224" t="str">
        <f>'CCM huidig'!B28</f>
        <v>Kosten per jaar</v>
      </c>
      <c r="C29" s="306">
        <f>'CCM huidig'!C28</f>
        <v>116</v>
      </c>
      <c r="D29" s="105">
        <f>IF('CCM huidig'!D28=0,'CCM huidig'!C28,'CCM huidig'!D28)</f>
        <v>116</v>
      </c>
      <c r="E29" s="308">
        <f>IF(E27=0,C27,E27)+IF(E28=0,C28,E28)</f>
        <v>116</v>
      </c>
    </row>
    <row r="30" spans="2:7" x14ac:dyDescent="0.3">
      <c r="B30" s="200"/>
      <c r="C30" s="200"/>
      <c r="D30" s="302"/>
      <c r="E30" s="200"/>
    </row>
    <row r="31" spans="2:7" x14ac:dyDescent="0.3">
      <c r="B31" s="193" t="str">
        <f>'CCM huidig'!B30</f>
        <v>Oogsten</v>
      </c>
      <c r="C31" s="193"/>
      <c r="D31" s="305"/>
      <c r="E31" s="193"/>
    </row>
    <row r="32" spans="2:7" x14ac:dyDescent="0.3">
      <c r="B32" s="11" t="str">
        <f>'CCM huidig'!B31</f>
        <v>Oogsten</v>
      </c>
      <c r="C32" s="48">
        <f>'CCM huidig'!C31</f>
        <v>550</v>
      </c>
      <c r="D32" s="103">
        <f>IF('CCM huidig'!D31=0,'CCM huidig'!C31,'CCM huidig'!D31)</f>
        <v>550</v>
      </c>
      <c r="E32" s="285"/>
      <c r="G32" t="s">
        <v>55</v>
      </c>
    </row>
    <row r="33" spans="2:5" x14ac:dyDescent="0.3">
      <c r="B33" s="11" t="str">
        <f>'CCM huidig'!B32</f>
        <v>Toevoegmiddelen</v>
      </c>
      <c r="C33" s="48">
        <f>'CCM huidig'!C32</f>
        <v>0</v>
      </c>
      <c r="D33" s="103">
        <f>IF('CCM huidig'!D32=0,'CCM huidig'!C32,'CCM huidig'!D32)</f>
        <v>0</v>
      </c>
      <c r="E33" s="285"/>
    </row>
    <row r="34" spans="2:5" x14ac:dyDescent="0.3">
      <c r="B34" s="224" t="str">
        <f>'CCM huidig'!B33</f>
        <v>Kosten per jaar</v>
      </c>
      <c r="C34" s="306">
        <f>'CCM huidig'!C33</f>
        <v>550</v>
      </c>
      <c r="D34" s="105">
        <f>IF('CCM huidig'!D33=0,'CCM huidig'!C33,'CCM huidig'!D33)</f>
        <v>550</v>
      </c>
      <c r="E34" s="308">
        <f>IF(E32=0,C32,E32)+IF(E33=0,C33,E33)</f>
        <v>550</v>
      </c>
    </row>
    <row r="35" spans="2:5" x14ac:dyDescent="0.3">
      <c r="B35" s="200"/>
      <c r="C35" s="200"/>
      <c r="D35" s="302"/>
      <c r="E35" s="200"/>
    </row>
    <row r="36" spans="2:5" x14ac:dyDescent="0.3">
      <c r="B36" s="11" t="str">
        <f>'CCM huidig'!B35</f>
        <v>Kosten per Ha</v>
      </c>
      <c r="C36" s="48">
        <f>'CCM huidig'!C35</f>
        <v>1321</v>
      </c>
      <c r="D36" s="103">
        <f>IF('CCM huidig'!D35=0,'CCM huidig'!C35,'CCM huidig'!D35)</f>
        <v>1321</v>
      </c>
      <c r="E36" s="48">
        <f>E34+E29+E24+E18</f>
        <v>1321</v>
      </c>
    </row>
    <row r="37" spans="2:5" x14ac:dyDescent="0.3">
      <c r="B37" s="11" t="str">
        <f>'CCM huidig'!B36</f>
        <v>Kosten per KG DS</v>
      </c>
      <c r="C37" s="47">
        <f>'CCM huidig'!C36</f>
        <v>0.15011363636363637</v>
      </c>
      <c r="D37" s="102">
        <f>IF('CCM huidig'!D36=0,'CCM huidig'!C36,'CCM huidig'!D36)</f>
        <v>0.15011363636363637</v>
      </c>
      <c r="E37" s="47">
        <f>IF(E10=0,E36/C10,E36/E10)</f>
        <v>0.15011363636363637</v>
      </c>
    </row>
    <row r="38" spans="2:5" x14ac:dyDescent="0.3">
      <c r="B38" s="11" t="str">
        <f>'CCM huidig'!B37</f>
        <v>Kosten per kVEM</v>
      </c>
      <c r="C38" s="47">
        <f>'CCM huidig'!C37</f>
        <v>0.12509469696969697</v>
      </c>
      <c r="D38" s="102">
        <f>IF('CCM huidig'!D37=0,'CCM huidig'!C37,'CCM huidig'!D37)</f>
        <v>0.12509469696969699</v>
      </c>
      <c r="E38" s="47">
        <f>IF(E10=0,IF(E11=0,E36/(C10*C11),E36/(C10*E11)),IF(E11=0,E36/(E10*C11),E36/(E10*E11)))*1000</f>
        <v>0.12509469696969699</v>
      </c>
    </row>
  </sheetData>
  <sheetProtection sheet="1" objects="1" scenarios="1" selectLockedCells="1"/>
  <mergeCells count="1">
    <mergeCell ref="B2:E3"/>
  </mergeCells>
  <conditionalFormatting sqref="D10:D12 D15:D38">
    <cfRule type="expression" dxfId="5" priority="133">
      <formula>$B$5=2</formula>
    </cfRule>
  </conditionalFormatting>
  <conditionalFormatting sqref="E10:E12 E15:E38">
    <cfRule type="expression" dxfId="4" priority="135">
      <formula>$B$5&lt;3</formula>
    </cfRule>
  </conditionalFormatting>
  <conditionalFormatting sqref="D34 D31 D29 D26 D24 D20 D18 D14 D9">
    <cfRule type="expression" dxfId="3" priority="2">
      <formula>$B$5=2</formula>
    </cfRule>
  </conditionalFormatting>
  <conditionalFormatting sqref="E9 E14">
    <cfRule type="expression" dxfId="2" priority="1">
      <formula>$B$5=3</formula>
    </cfRule>
  </conditionalFormatting>
  <dataValidations count="1">
    <dataValidation type="decimal" operator="greaterThanOrEqual" allowBlank="1" showInputMessage="1" showErrorMessage="1" errorTitle="Fout" error="Typ een getal groter of gelijk aan 0." sqref="E10:E12 E16:E17 E15 E21 E22 E23 E27 E28 E32 E33" xr:uid="{D1D8A544-8653-4282-899E-7762AD7AFFBA}">
      <formula1>0</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61" r:id="rId4" name="Option Button 1">
              <controlPr defaultSize="0" autoFill="0" autoLine="0" autoPict="0">
                <anchor moveWithCells="1">
                  <from>
                    <xdr:col>1</xdr:col>
                    <xdr:colOff>0</xdr:colOff>
                    <xdr:row>4</xdr:row>
                    <xdr:rowOff>0</xdr:rowOff>
                  </from>
                  <to>
                    <xdr:col>1</xdr:col>
                    <xdr:colOff>2042160</xdr:colOff>
                    <xdr:row>5</xdr:row>
                    <xdr:rowOff>0</xdr:rowOff>
                  </to>
                </anchor>
              </controlPr>
            </control>
          </mc:Choice>
        </mc:AlternateContent>
        <mc:AlternateContent xmlns:mc="http://schemas.openxmlformats.org/markup-compatibility/2006">
          <mc:Choice Requires="x14">
            <control shapeId="40962" r:id="rId5" name="Option Button 2">
              <controlPr defaultSize="0" autoFill="0" autoLine="0" autoPict="0">
                <anchor moveWithCells="1">
                  <from>
                    <xdr:col>1</xdr:col>
                    <xdr:colOff>0</xdr:colOff>
                    <xdr:row>5</xdr:row>
                    <xdr:rowOff>0</xdr:rowOff>
                  </from>
                  <to>
                    <xdr:col>2</xdr:col>
                    <xdr:colOff>0</xdr:colOff>
                    <xdr:row>6</xdr:row>
                    <xdr:rowOff>0</xdr:rowOff>
                  </to>
                </anchor>
              </controlPr>
            </control>
          </mc:Choice>
        </mc:AlternateContent>
        <mc:AlternateContent xmlns:mc="http://schemas.openxmlformats.org/markup-compatibility/2006">
          <mc:Choice Requires="x14">
            <control shapeId="40963" r:id="rId6" name="Option Button 3">
              <controlPr defaultSize="0" autoFill="0" autoLine="0" autoPict="0">
                <anchor moveWithCells="1">
                  <from>
                    <xdr:col>1</xdr:col>
                    <xdr:colOff>0</xdr:colOff>
                    <xdr:row>6</xdr:row>
                    <xdr:rowOff>0</xdr:rowOff>
                  </from>
                  <to>
                    <xdr:col>2</xdr:col>
                    <xdr:colOff>0</xdr:colOff>
                    <xdr:row>7</xdr:row>
                    <xdr:rowOff>0</xdr:rowOff>
                  </to>
                </anchor>
              </controlPr>
            </control>
          </mc:Choice>
        </mc:AlternateContent>
      </controls>
    </mc:Choice>
  </mc:AlternateContent>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09A305-A4E5-4552-A4AD-724A37482B52}">
  <sheetPr codeName="Blad43">
    <tabColor theme="8" tint="0.59999389629810485"/>
  </sheetPr>
  <dimension ref="B2:E36"/>
  <sheetViews>
    <sheetView showGridLines="0" zoomScale="80" zoomScaleNormal="80" workbookViewId="0">
      <selection activeCell="C9" sqref="C9"/>
    </sheetView>
  </sheetViews>
  <sheetFormatPr defaultRowHeight="14.4" x14ac:dyDescent="0.3"/>
  <cols>
    <col min="1" max="1" width="2.77734375" customWidth="1"/>
    <col min="2" max="2" width="30.5546875" customWidth="1"/>
    <col min="3" max="3" width="16.77734375" customWidth="1"/>
    <col min="4" max="4" width="2.6640625" customWidth="1"/>
  </cols>
  <sheetData>
    <row r="2" spans="2:3" x14ac:dyDescent="0.3">
      <c r="B2" s="456" t="s">
        <v>246</v>
      </c>
      <c r="C2" s="456"/>
    </row>
    <row r="3" spans="2:3" x14ac:dyDescent="0.3">
      <c r="B3" s="456"/>
      <c r="C3" s="456"/>
    </row>
    <row r="5" spans="2:3" x14ac:dyDescent="0.3">
      <c r="B5" s="11" t="s">
        <v>242</v>
      </c>
      <c r="C5" s="280"/>
    </row>
    <row r="7" spans="2:3" x14ac:dyDescent="0.3">
      <c r="B7" s="193"/>
      <c r="C7" s="220" t="s">
        <v>102</v>
      </c>
    </row>
    <row r="8" spans="2:3" x14ac:dyDescent="0.3">
      <c r="B8" s="11" t="s">
        <v>103</v>
      </c>
      <c r="C8" s="296"/>
    </row>
    <row r="9" spans="2:3" x14ac:dyDescent="0.3">
      <c r="B9" s="11" t="s">
        <v>104</v>
      </c>
      <c r="C9" s="296"/>
    </row>
    <row r="10" spans="2:3" x14ac:dyDescent="0.3">
      <c r="B10" s="11" t="s">
        <v>105</v>
      </c>
      <c r="C10" s="296"/>
    </row>
    <row r="12" spans="2:3" x14ac:dyDescent="0.3">
      <c r="B12" s="193" t="s">
        <v>127</v>
      </c>
      <c r="C12" s="261" t="s">
        <v>102</v>
      </c>
    </row>
    <row r="13" spans="2:3" x14ac:dyDescent="0.3">
      <c r="B13" s="11" t="s">
        <v>129</v>
      </c>
      <c r="C13" s="285"/>
    </row>
    <row r="14" spans="2:3" x14ac:dyDescent="0.3">
      <c r="B14" s="11" t="s">
        <v>110</v>
      </c>
      <c r="C14" s="285"/>
    </row>
    <row r="15" spans="2:3" x14ac:dyDescent="0.3">
      <c r="B15" s="11" t="s">
        <v>111</v>
      </c>
      <c r="C15" s="285"/>
    </row>
    <row r="16" spans="2:3" x14ac:dyDescent="0.3">
      <c r="B16" s="193" t="s">
        <v>113</v>
      </c>
      <c r="C16" s="195">
        <f>SUM(C13:C15)</f>
        <v>0</v>
      </c>
    </row>
    <row r="18" spans="2:5" x14ac:dyDescent="0.3">
      <c r="B18" s="193" t="s">
        <v>114</v>
      </c>
      <c r="C18" s="193"/>
    </row>
    <row r="19" spans="2:5" x14ac:dyDescent="0.3">
      <c r="B19" s="11" t="s">
        <v>115</v>
      </c>
      <c r="C19" s="285"/>
    </row>
    <row r="20" spans="2:5" x14ac:dyDescent="0.3">
      <c r="B20" s="11" t="s">
        <v>116</v>
      </c>
      <c r="C20" s="285"/>
    </row>
    <row r="21" spans="2:5" x14ac:dyDescent="0.3">
      <c r="B21" s="11" t="s">
        <v>117</v>
      </c>
      <c r="C21" s="285"/>
    </row>
    <row r="22" spans="2:5" x14ac:dyDescent="0.3">
      <c r="B22" s="193" t="s">
        <v>113</v>
      </c>
      <c r="C22" s="195">
        <f>SUM(C19:C21)</f>
        <v>0</v>
      </c>
    </row>
    <row r="24" spans="2:5" x14ac:dyDescent="0.3">
      <c r="B24" s="193" t="s">
        <v>118</v>
      </c>
      <c r="C24" s="193"/>
    </row>
    <row r="25" spans="2:5" x14ac:dyDescent="0.3">
      <c r="B25" s="11" t="s">
        <v>130</v>
      </c>
      <c r="C25" s="285"/>
    </row>
    <row r="26" spans="2:5" x14ac:dyDescent="0.3">
      <c r="B26" s="11" t="s">
        <v>131</v>
      </c>
      <c r="C26" s="285"/>
    </row>
    <row r="27" spans="2:5" x14ac:dyDescent="0.3">
      <c r="B27" s="193" t="s">
        <v>113</v>
      </c>
      <c r="C27" s="195">
        <f>SUM(C25:C26)</f>
        <v>0</v>
      </c>
    </row>
    <row r="29" spans="2:5" x14ac:dyDescent="0.3">
      <c r="B29" s="193" t="s">
        <v>121</v>
      </c>
      <c r="C29" s="193"/>
    </row>
    <row r="30" spans="2:5" x14ac:dyDescent="0.3">
      <c r="B30" s="11" t="s">
        <v>121</v>
      </c>
      <c r="C30" s="285"/>
      <c r="E30" t="s">
        <v>55</v>
      </c>
    </row>
    <row r="31" spans="2:5" x14ac:dyDescent="0.3">
      <c r="B31" s="11" t="s">
        <v>124</v>
      </c>
      <c r="C31" s="285"/>
    </row>
    <row r="32" spans="2:5" x14ac:dyDescent="0.3">
      <c r="B32" s="193" t="s">
        <v>113</v>
      </c>
      <c r="C32" s="195">
        <f>SUM(C30:C31)</f>
        <v>0</v>
      </c>
    </row>
    <row r="34" spans="2:3" x14ac:dyDescent="0.3">
      <c r="B34" s="11" t="s">
        <v>7</v>
      </c>
      <c r="C34" s="48">
        <f>C32+C27+C22+C16</f>
        <v>0</v>
      </c>
    </row>
    <row r="35" spans="2:3" x14ac:dyDescent="0.3">
      <c r="B35" s="11" t="s">
        <v>125</v>
      </c>
      <c r="C35" s="47">
        <f>IF(C8=0,0,C34/C8)</f>
        <v>0</v>
      </c>
    </row>
    <row r="36" spans="2:3" x14ac:dyDescent="0.3">
      <c r="B36" s="11" t="s">
        <v>126</v>
      </c>
      <c r="C36" s="47">
        <f>IF(C9=0,0,IF(C8=0,0,C34/(C8*C9)*1000))</f>
        <v>0</v>
      </c>
    </row>
  </sheetData>
  <sheetProtection sheet="1" objects="1" scenarios="1" selectLockedCells="1"/>
  <mergeCells count="1">
    <mergeCell ref="B2:C3"/>
  </mergeCells>
  <conditionalFormatting sqref="C7:C36">
    <cfRule type="expression" dxfId="1" priority="1">
      <formula>#REF!=1</formula>
    </cfRule>
  </conditionalFormatting>
  <conditionalFormatting sqref="C13:C36 C8:C10">
    <cfRule type="expression" dxfId="0" priority="2">
      <formula>#REF!=1</formula>
    </cfRule>
  </conditionalFormatting>
  <dataValidations count="1">
    <dataValidation type="decimal" operator="greaterThanOrEqual" allowBlank="1" showInputMessage="1" showErrorMessage="1" errorTitle="Fout" error="Typ een getal groter of gelijk aan 0." sqref="C8:C10 C13:C14 C15 C19:C21 C25 C26 C30 C31" xr:uid="{FB89DD0E-525B-4A03-A88F-6F3DF8056336}">
      <formula1>0</formula1>
    </dataValidation>
  </dataValidations>
  <pageMargins left="0.7" right="0.7" top="0.75" bottom="0.75" header="0.3" footer="0.3"/>
  <pageSetup paperSize="9" orientation="portrait"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FC259-95CA-4002-9A3D-3AF4FFE9B0C3}">
  <sheetPr codeName="Blad44">
    <tabColor theme="1"/>
  </sheetPr>
  <dimension ref="B2:L142"/>
  <sheetViews>
    <sheetView showGridLines="0" topLeftCell="A77" zoomScaleNormal="100" workbookViewId="0">
      <selection activeCell="E134" sqref="E134"/>
    </sheetView>
  </sheetViews>
  <sheetFormatPr defaultRowHeight="14.4" x14ac:dyDescent="0.3"/>
  <cols>
    <col min="1" max="1" width="2.77734375" customWidth="1"/>
    <col min="2" max="2" width="32.5546875" bestFit="1" customWidth="1"/>
    <col min="3" max="9" width="14.21875" customWidth="1"/>
    <col min="10" max="10" width="12.77734375" bestFit="1" customWidth="1"/>
  </cols>
  <sheetData>
    <row r="2" spans="2:12" x14ac:dyDescent="0.3">
      <c r="B2" s="457" t="s">
        <v>1</v>
      </c>
      <c r="C2" s="457"/>
      <c r="D2" s="457"/>
      <c r="E2" s="457"/>
      <c r="F2" s="457"/>
      <c r="G2" s="457"/>
      <c r="H2" s="457"/>
    </row>
    <row r="3" spans="2:12" x14ac:dyDescent="0.3">
      <c r="B3" s="122"/>
      <c r="C3" s="467" t="s">
        <v>141</v>
      </c>
      <c r="D3" s="468"/>
      <c r="E3" s="467" t="s">
        <v>140</v>
      </c>
      <c r="F3" s="468"/>
      <c r="G3" s="466" t="s">
        <v>142</v>
      </c>
      <c r="H3" s="466"/>
    </row>
    <row r="4" spans="2:12" x14ac:dyDescent="0.3">
      <c r="B4" s="123" t="s">
        <v>11</v>
      </c>
      <c r="C4" s="458">
        <v>0</v>
      </c>
      <c r="D4" s="459"/>
      <c r="E4" s="458">
        <v>0</v>
      </c>
      <c r="F4" s="459"/>
      <c r="G4" s="466">
        <v>0</v>
      </c>
      <c r="H4" s="466"/>
    </row>
    <row r="5" spans="2:12" x14ac:dyDescent="0.3">
      <c r="B5" s="123" t="s">
        <v>155</v>
      </c>
      <c r="C5" s="458">
        <v>250</v>
      </c>
      <c r="D5" s="459"/>
      <c r="E5" s="458">
        <v>4</v>
      </c>
      <c r="F5" s="459"/>
      <c r="G5" s="466">
        <f>C5/E5</f>
        <v>62.5</v>
      </c>
      <c r="H5" s="466"/>
    </row>
    <row r="6" spans="2:12" x14ac:dyDescent="0.3">
      <c r="B6" s="123" t="s">
        <v>156</v>
      </c>
      <c r="C6" s="458">
        <v>250</v>
      </c>
      <c r="D6" s="459"/>
      <c r="E6" s="458">
        <v>4</v>
      </c>
      <c r="F6" s="459"/>
      <c r="G6" s="466">
        <f t="shared" ref="G6:G10" si="0">C6/E6</f>
        <v>62.5</v>
      </c>
      <c r="H6" s="466"/>
    </row>
    <row r="7" spans="2:12" x14ac:dyDescent="0.3">
      <c r="B7" s="123" t="s">
        <v>12</v>
      </c>
      <c r="C7" s="458">
        <v>230</v>
      </c>
      <c r="D7" s="459"/>
      <c r="E7" s="458">
        <v>4</v>
      </c>
      <c r="F7" s="459"/>
      <c r="G7" s="466">
        <f t="shared" si="0"/>
        <v>57.5</v>
      </c>
      <c r="H7" s="466"/>
    </row>
    <row r="8" spans="2:12" x14ac:dyDescent="0.3">
      <c r="B8" s="123" t="s">
        <v>13</v>
      </c>
      <c r="C8" s="458">
        <v>170</v>
      </c>
      <c r="D8" s="459"/>
      <c r="E8" s="458">
        <v>4</v>
      </c>
      <c r="F8" s="459"/>
      <c r="G8" s="466">
        <f t="shared" si="0"/>
        <v>42.5</v>
      </c>
      <c r="H8" s="466"/>
    </row>
    <row r="9" spans="2:12" x14ac:dyDescent="0.3">
      <c r="B9" s="123" t="s">
        <v>14</v>
      </c>
      <c r="C9" s="458">
        <v>170</v>
      </c>
      <c r="D9" s="459"/>
      <c r="E9" s="458">
        <v>4</v>
      </c>
      <c r="F9" s="459"/>
      <c r="G9" s="466">
        <f t="shared" si="0"/>
        <v>42.5</v>
      </c>
      <c r="H9" s="466"/>
    </row>
    <row r="10" spans="2:12" x14ac:dyDescent="0.3">
      <c r="B10" s="123" t="s">
        <v>16</v>
      </c>
      <c r="C10" s="458">
        <v>170</v>
      </c>
      <c r="D10" s="459"/>
      <c r="E10" s="458">
        <v>4</v>
      </c>
      <c r="F10" s="459"/>
      <c r="G10" s="466">
        <f t="shared" si="0"/>
        <v>42.5</v>
      </c>
      <c r="H10" s="466"/>
    </row>
    <row r="11" spans="2:12" x14ac:dyDescent="0.3">
      <c r="B11" s="124"/>
      <c r="C11" s="124"/>
      <c r="D11" s="124"/>
      <c r="E11" s="124"/>
      <c r="F11" s="124"/>
      <c r="G11" s="124"/>
      <c r="H11" s="124"/>
    </row>
    <row r="12" spans="2:12" x14ac:dyDescent="0.3">
      <c r="B12" s="460" t="s">
        <v>2</v>
      </c>
      <c r="C12" s="461"/>
      <c r="D12" s="461"/>
      <c r="E12" s="461"/>
      <c r="F12" s="461"/>
      <c r="G12" s="461"/>
      <c r="H12" s="461"/>
      <c r="I12" s="462"/>
    </row>
    <row r="13" spans="2:12" ht="24" x14ac:dyDescent="0.3">
      <c r="B13" s="11"/>
      <c r="C13" s="119" t="s">
        <v>143</v>
      </c>
      <c r="D13" s="119" t="s">
        <v>144</v>
      </c>
      <c r="E13" s="119" t="s">
        <v>29</v>
      </c>
      <c r="F13" s="119" t="s">
        <v>30</v>
      </c>
      <c r="G13" s="119" t="s">
        <v>31</v>
      </c>
      <c r="H13" s="119" t="s">
        <v>145</v>
      </c>
      <c r="I13" s="11"/>
    </row>
    <row r="14" spans="2:12" x14ac:dyDescent="0.3">
      <c r="B14" s="120" t="s">
        <v>146</v>
      </c>
      <c r="C14" s="121">
        <v>9500</v>
      </c>
      <c r="D14" s="121">
        <v>10000</v>
      </c>
      <c r="E14" s="121">
        <v>10000</v>
      </c>
      <c r="F14" s="121">
        <v>10000</v>
      </c>
      <c r="G14" s="121">
        <v>10500</v>
      </c>
      <c r="H14" s="121">
        <v>6000</v>
      </c>
      <c r="I14" s="11"/>
    </row>
    <row r="15" spans="2:12" x14ac:dyDescent="0.3">
      <c r="B15" s="120" t="s">
        <v>147</v>
      </c>
      <c r="C15" s="119">
        <v>905</v>
      </c>
      <c r="D15" s="119">
        <v>905</v>
      </c>
      <c r="E15" s="119">
        <v>905</v>
      </c>
      <c r="F15" s="119">
        <v>905</v>
      </c>
      <c r="G15" s="119">
        <v>880</v>
      </c>
      <c r="H15" s="119">
        <v>720</v>
      </c>
      <c r="I15" s="11"/>
    </row>
    <row r="16" spans="2:12" x14ac:dyDescent="0.3">
      <c r="B16" s="120" t="s">
        <v>148</v>
      </c>
      <c r="C16" s="119">
        <v>72</v>
      </c>
      <c r="D16" s="119">
        <v>72</v>
      </c>
      <c r="E16" s="119">
        <v>72</v>
      </c>
      <c r="F16" s="119">
        <v>60</v>
      </c>
      <c r="G16" s="119">
        <v>48</v>
      </c>
      <c r="H16" s="119">
        <v>50</v>
      </c>
      <c r="I16" s="11"/>
      <c r="K16" s="118"/>
      <c r="L16" s="118"/>
    </row>
    <row r="17" spans="2:9" x14ac:dyDescent="0.3">
      <c r="B17" s="11"/>
      <c r="C17" s="119"/>
      <c r="D17" s="119"/>
      <c r="E17" s="119"/>
      <c r="F17" s="119"/>
      <c r="G17" s="119"/>
      <c r="H17" s="119"/>
      <c r="I17" s="11"/>
    </row>
    <row r="18" spans="2:9" x14ac:dyDescent="0.3">
      <c r="B18" s="120" t="s">
        <v>149</v>
      </c>
      <c r="C18" s="119"/>
      <c r="D18" s="119"/>
      <c r="E18" s="119"/>
      <c r="F18" s="119"/>
      <c r="G18" s="119"/>
      <c r="H18" s="119"/>
      <c r="I18" s="11"/>
    </row>
    <row r="19" spans="2:9" x14ac:dyDescent="0.3">
      <c r="B19" s="120" t="s">
        <v>108</v>
      </c>
      <c r="C19" s="146">
        <v>0</v>
      </c>
      <c r="D19" s="146">
        <v>80</v>
      </c>
      <c r="E19" s="146">
        <v>80</v>
      </c>
      <c r="F19" s="146">
        <v>80</v>
      </c>
      <c r="G19" s="146">
        <v>80</v>
      </c>
      <c r="H19" s="146">
        <v>0</v>
      </c>
      <c r="I19" s="11"/>
    </row>
    <row r="20" spans="2:9" x14ac:dyDescent="0.3">
      <c r="B20" s="120" t="s">
        <v>109</v>
      </c>
      <c r="C20" s="146">
        <v>0</v>
      </c>
      <c r="D20" s="146">
        <v>236</v>
      </c>
      <c r="E20" s="146">
        <v>236</v>
      </c>
      <c r="F20" s="146">
        <v>236</v>
      </c>
      <c r="G20" s="146">
        <v>236</v>
      </c>
      <c r="H20" s="146">
        <v>0</v>
      </c>
      <c r="I20" s="11"/>
    </row>
    <row r="21" spans="2:9" x14ac:dyDescent="0.3">
      <c r="B21" s="120" t="s">
        <v>110</v>
      </c>
      <c r="C21" s="146">
        <v>98</v>
      </c>
      <c r="D21" s="146">
        <v>102</v>
      </c>
      <c r="E21" s="146">
        <v>102</v>
      </c>
      <c r="F21" s="146">
        <v>102</v>
      </c>
      <c r="G21" s="146">
        <v>104</v>
      </c>
      <c r="H21" s="146">
        <v>0</v>
      </c>
      <c r="I21" s="11"/>
    </row>
    <row r="22" spans="2:9" x14ac:dyDescent="0.3">
      <c r="B22" s="120" t="s">
        <v>111</v>
      </c>
      <c r="C22" s="146">
        <v>169</v>
      </c>
      <c r="D22" s="146">
        <v>198</v>
      </c>
      <c r="E22" s="146">
        <v>210</v>
      </c>
      <c r="F22" s="146">
        <v>350</v>
      </c>
      <c r="G22" s="146">
        <v>476</v>
      </c>
      <c r="H22" s="146">
        <v>0</v>
      </c>
      <c r="I22" s="11"/>
    </row>
    <row r="23" spans="2:9" x14ac:dyDescent="0.3">
      <c r="B23" s="120" t="s">
        <v>112</v>
      </c>
      <c r="C23" s="119">
        <v>3</v>
      </c>
      <c r="D23" s="119">
        <v>4</v>
      </c>
      <c r="E23" s="119">
        <v>4</v>
      </c>
      <c r="F23" s="119">
        <v>4</v>
      </c>
      <c r="G23" s="119">
        <v>4</v>
      </c>
      <c r="H23" s="119">
        <v>0</v>
      </c>
      <c r="I23" s="11"/>
    </row>
    <row r="24" spans="2:9" x14ac:dyDescent="0.3">
      <c r="B24" s="120" t="s">
        <v>113</v>
      </c>
      <c r="C24" s="146">
        <f>SUM(C19:C22)/C23</f>
        <v>89</v>
      </c>
      <c r="D24" s="146">
        <f t="shared" ref="D24:G24" si="1">SUM(D19:D22)/D23</f>
        <v>154</v>
      </c>
      <c r="E24" s="146">
        <f t="shared" si="1"/>
        <v>157</v>
      </c>
      <c r="F24" s="146">
        <f t="shared" si="1"/>
        <v>192</v>
      </c>
      <c r="G24" s="146">
        <f t="shared" si="1"/>
        <v>224</v>
      </c>
      <c r="H24" s="146">
        <f>IF(H23=0,0,SUM(H19:H22)/H23)</f>
        <v>0</v>
      </c>
      <c r="I24" s="11"/>
    </row>
    <row r="25" spans="2:9" x14ac:dyDescent="0.3">
      <c r="B25" s="11"/>
      <c r="C25" s="119"/>
      <c r="D25" s="119"/>
      <c r="E25" s="119"/>
      <c r="F25" s="119"/>
      <c r="G25" s="119"/>
      <c r="H25" s="119"/>
      <c r="I25" s="11"/>
    </row>
    <row r="26" spans="2:9" x14ac:dyDescent="0.3">
      <c r="B26" s="120" t="s">
        <v>114</v>
      </c>
      <c r="C26" s="119"/>
      <c r="D26" s="119"/>
      <c r="E26" s="119"/>
      <c r="F26" s="119"/>
      <c r="G26" s="119"/>
      <c r="H26" s="119"/>
      <c r="I26" s="11"/>
    </row>
    <row r="27" spans="2:9" x14ac:dyDescent="0.3">
      <c r="B27" s="120" t="s">
        <v>115</v>
      </c>
      <c r="C27" s="146">
        <v>125</v>
      </c>
      <c r="D27" s="146">
        <v>125</v>
      </c>
      <c r="E27" s="146">
        <v>125</v>
      </c>
      <c r="F27" s="146">
        <v>100</v>
      </c>
      <c r="G27" s="146">
        <v>150</v>
      </c>
      <c r="H27" s="146">
        <v>125</v>
      </c>
      <c r="I27" s="11"/>
    </row>
    <row r="28" spans="2:9" x14ac:dyDescent="0.3">
      <c r="B28" s="120" t="s">
        <v>116</v>
      </c>
      <c r="C28" s="146">
        <v>140</v>
      </c>
      <c r="D28" s="146">
        <v>140</v>
      </c>
      <c r="E28" s="146">
        <v>140</v>
      </c>
      <c r="F28" s="146">
        <v>0</v>
      </c>
      <c r="G28" s="146">
        <v>180</v>
      </c>
      <c r="H28" s="146">
        <v>0</v>
      </c>
      <c r="I28" s="11"/>
    </row>
    <row r="29" spans="2:9" x14ac:dyDescent="0.3">
      <c r="B29" s="120" t="s">
        <v>117</v>
      </c>
      <c r="C29" s="146">
        <v>57</v>
      </c>
      <c r="D29" s="146">
        <v>57</v>
      </c>
      <c r="E29" s="146">
        <v>57</v>
      </c>
      <c r="F29" s="146">
        <v>0</v>
      </c>
      <c r="G29" s="146">
        <v>57</v>
      </c>
      <c r="H29" s="146">
        <v>0</v>
      </c>
      <c r="I29" s="11"/>
    </row>
    <row r="30" spans="2:9" x14ac:dyDescent="0.3">
      <c r="B30" s="120" t="s">
        <v>113</v>
      </c>
      <c r="C30" s="146">
        <f>SUM(C27:C29)</f>
        <v>322</v>
      </c>
      <c r="D30" s="146">
        <f t="shared" ref="D30:H30" si="2">SUM(D27:D29)</f>
        <v>322</v>
      </c>
      <c r="E30" s="146">
        <f t="shared" si="2"/>
        <v>322</v>
      </c>
      <c r="F30" s="146">
        <f t="shared" si="2"/>
        <v>100</v>
      </c>
      <c r="G30" s="146">
        <f t="shared" si="2"/>
        <v>387</v>
      </c>
      <c r="H30" s="146">
        <f t="shared" si="2"/>
        <v>125</v>
      </c>
      <c r="I30" s="11"/>
    </row>
    <row r="31" spans="2:9" x14ac:dyDescent="0.3">
      <c r="B31" s="11"/>
      <c r="C31" s="119"/>
      <c r="D31" s="119"/>
      <c r="E31" s="119"/>
      <c r="F31" s="119"/>
      <c r="G31" s="119"/>
      <c r="H31" s="119"/>
      <c r="I31" s="11"/>
    </row>
    <row r="32" spans="2:9" x14ac:dyDescent="0.3">
      <c r="B32" s="120" t="s">
        <v>118</v>
      </c>
      <c r="C32" s="119"/>
      <c r="D32" s="119"/>
      <c r="E32" s="119"/>
      <c r="F32" s="119"/>
      <c r="G32" s="119"/>
      <c r="H32" s="119"/>
      <c r="I32" s="11"/>
    </row>
    <row r="33" spans="2:9" x14ac:dyDescent="0.3">
      <c r="B33" s="120" t="s">
        <v>119</v>
      </c>
      <c r="C33" s="146">
        <v>103</v>
      </c>
      <c r="D33" s="146">
        <v>103</v>
      </c>
      <c r="E33" s="146">
        <v>0</v>
      </c>
      <c r="F33" s="146">
        <v>0</v>
      </c>
      <c r="G33" s="146">
        <v>103</v>
      </c>
      <c r="H33" s="146">
        <v>0</v>
      </c>
      <c r="I33" s="11"/>
    </row>
    <row r="34" spans="2:9" x14ac:dyDescent="0.3">
      <c r="B34" s="120" t="s">
        <v>120</v>
      </c>
      <c r="C34" s="119">
        <v>2</v>
      </c>
      <c r="D34" s="119">
        <v>2</v>
      </c>
      <c r="E34" s="119">
        <v>0</v>
      </c>
      <c r="F34" s="119">
        <v>0</v>
      </c>
      <c r="G34" s="119">
        <v>2</v>
      </c>
      <c r="H34" s="119">
        <v>0</v>
      </c>
      <c r="I34" s="11"/>
    </row>
    <row r="35" spans="2:9" x14ac:dyDescent="0.3">
      <c r="B35" s="120" t="s">
        <v>113</v>
      </c>
      <c r="C35" s="146">
        <f>C33*C34/10</f>
        <v>20.6</v>
      </c>
      <c r="D35" s="146">
        <f t="shared" ref="D35:H35" si="3">D33*D34/10</f>
        <v>20.6</v>
      </c>
      <c r="E35" s="146">
        <f t="shared" si="3"/>
        <v>0</v>
      </c>
      <c r="F35" s="146">
        <f t="shared" si="3"/>
        <v>0</v>
      </c>
      <c r="G35" s="146">
        <f t="shared" si="3"/>
        <v>20.6</v>
      </c>
      <c r="H35" s="146">
        <f t="shared" si="3"/>
        <v>0</v>
      </c>
      <c r="I35" s="11"/>
    </row>
    <row r="36" spans="2:9" x14ac:dyDescent="0.3">
      <c r="B36" s="11"/>
      <c r="C36" s="119"/>
      <c r="D36" s="119"/>
      <c r="E36" s="119"/>
      <c r="F36" s="119"/>
      <c r="G36" s="119"/>
      <c r="H36" s="119"/>
      <c r="I36" s="11"/>
    </row>
    <row r="37" spans="2:9" x14ac:dyDescent="0.3">
      <c r="B37" s="120" t="s">
        <v>121</v>
      </c>
      <c r="C37" s="119"/>
      <c r="D37" s="119"/>
      <c r="E37" s="119"/>
      <c r="F37" s="119"/>
      <c r="G37" s="119"/>
      <c r="H37" s="119"/>
      <c r="I37" s="11"/>
    </row>
    <row r="38" spans="2:9" x14ac:dyDescent="0.3">
      <c r="B38" s="120" t="s">
        <v>122</v>
      </c>
      <c r="C38" s="119">
        <v>5</v>
      </c>
      <c r="D38" s="119">
        <v>5</v>
      </c>
      <c r="E38" s="119">
        <v>5</v>
      </c>
      <c r="F38" s="119">
        <v>5</v>
      </c>
      <c r="G38" s="119">
        <v>4</v>
      </c>
      <c r="H38" s="119">
        <v>3</v>
      </c>
      <c r="I38" s="11"/>
    </row>
    <row r="39" spans="2:9" x14ac:dyDescent="0.3">
      <c r="B39" s="120" t="s">
        <v>150</v>
      </c>
      <c r="C39" s="146">
        <v>146</v>
      </c>
      <c r="D39" s="146">
        <v>146</v>
      </c>
      <c r="E39" s="146">
        <v>146</v>
      </c>
      <c r="F39" s="146">
        <v>146</v>
      </c>
      <c r="G39" s="146">
        <v>158</v>
      </c>
      <c r="H39" s="146">
        <v>146</v>
      </c>
      <c r="I39" s="11"/>
    </row>
    <row r="40" spans="2:9" x14ac:dyDescent="0.3">
      <c r="B40" s="120" t="s">
        <v>124</v>
      </c>
      <c r="C40" s="146">
        <v>31</v>
      </c>
      <c r="D40" s="146">
        <v>31</v>
      </c>
      <c r="E40" s="146">
        <v>31</v>
      </c>
      <c r="F40" s="146">
        <v>31</v>
      </c>
      <c r="G40" s="146">
        <v>91</v>
      </c>
      <c r="H40" s="146">
        <v>31</v>
      </c>
      <c r="I40" s="11"/>
    </row>
    <row r="41" spans="2:9" x14ac:dyDescent="0.3">
      <c r="B41" s="120" t="s">
        <v>113</v>
      </c>
      <c r="C41" s="146">
        <f>(C39*C38)+C40</f>
        <v>761</v>
      </c>
      <c r="D41" s="146">
        <f t="shared" ref="D41:H41" si="4">(D39*D38)+D40</f>
        <v>761</v>
      </c>
      <c r="E41" s="146">
        <f t="shared" si="4"/>
        <v>761</v>
      </c>
      <c r="F41" s="146">
        <f t="shared" si="4"/>
        <v>761</v>
      </c>
      <c r="G41" s="146">
        <f t="shared" si="4"/>
        <v>723</v>
      </c>
      <c r="H41" s="146">
        <f t="shared" si="4"/>
        <v>469</v>
      </c>
      <c r="I41" s="11"/>
    </row>
    <row r="42" spans="2:9" x14ac:dyDescent="0.3">
      <c r="B42" s="11"/>
      <c r="C42" s="11"/>
      <c r="D42" s="11"/>
      <c r="E42" s="11"/>
      <c r="F42" s="11"/>
      <c r="G42" s="11"/>
      <c r="H42" s="11"/>
      <c r="I42" s="11"/>
    </row>
    <row r="43" spans="2:9" x14ac:dyDescent="0.3">
      <c r="B43" s="11"/>
      <c r="C43" s="119" t="s">
        <v>33</v>
      </c>
      <c r="D43" s="119" t="s">
        <v>34</v>
      </c>
      <c r="E43" s="119" t="s">
        <v>35</v>
      </c>
      <c r="F43" s="119" t="s">
        <v>37</v>
      </c>
      <c r="G43" s="119" t="s">
        <v>38</v>
      </c>
      <c r="H43" s="119" t="s">
        <v>39</v>
      </c>
      <c r="I43" s="119" t="s">
        <v>40</v>
      </c>
    </row>
    <row r="44" spans="2:9" x14ac:dyDescent="0.3">
      <c r="B44" s="120" t="s">
        <v>146</v>
      </c>
      <c r="C44" s="121">
        <v>16500</v>
      </c>
      <c r="D44" s="121">
        <v>17000</v>
      </c>
      <c r="E44" s="121">
        <v>11500</v>
      </c>
      <c r="F44" s="121">
        <v>5750</v>
      </c>
      <c r="G44" s="121">
        <v>2750</v>
      </c>
      <c r="H44" s="121">
        <v>11000</v>
      </c>
      <c r="I44" s="121">
        <v>8800</v>
      </c>
    </row>
    <row r="45" spans="2:9" x14ac:dyDescent="0.3">
      <c r="B45" s="120" t="s">
        <v>147</v>
      </c>
      <c r="C45" s="119">
        <v>980</v>
      </c>
      <c r="D45" s="119">
        <v>1100</v>
      </c>
      <c r="E45" s="119">
        <v>869</v>
      </c>
      <c r="F45" s="119">
        <v>1170</v>
      </c>
      <c r="G45" s="119">
        <v>1000</v>
      </c>
      <c r="H45" s="119">
        <v>1150</v>
      </c>
      <c r="I45" s="119">
        <v>1200</v>
      </c>
    </row>
    <row r="46" spans="2:9" x14ac:dyDescent="0.3">
      <c r="B46" s="120" t="s">
        <v>148</v>
      </c>
      <c r="C46" s="119">
        <v>52</v>
      </c>
      <c r="D46" s="119">
        <v>100</v>
      </c>
      <c r="E46" s="119">
        <v>67</v>
      </c>
      <c r="F46" s="119">
        <v>135</v>
      </c>
      <c r="G46" s="119">
        <v>220</v>
      </c>
      <c r="H46" s="119">
        <v>66</v>
      </c>
      <c r="I46" s="119">
        <v>69</v>
      </c>
    </row>
    <row r="47" spans="2:9" x14ac:dyDescent="0.3">
      <c r="B47" s="11"/>
      <c r="C47" s="119"/>
      <c r="D47" s="119"/>
      <c r="E47" s="119"/>
      <c r="F47" s="119"/>
      <c r="G47" s="119"/>
      <c r="H47" s="119"/>
      <c r="I47" s="119"/>
    </row>
    <row r="48" spans="2:9" x14ac:dyDescent="0.3">
      <c r="B48" s="120" t="s">
        <v>127</v>
      </c>
      <c r="C48" s="119"/>
      <c r="D48" s="119"/>
      <c r="E48" s="119"/>
      <c r="F48" s="119"/>
      <c r="G48" s="119"/>
      <c r="H48" s="119"/>
      <c r="I48" s="119"/>
    </row>
    <row r="49" spans="2:9" x14ac:dyDescent="0.3">
      <c r="B49" s="120" t="s">
        <v>151</v>
      </c>
      <c r="C49" s="146">
        <v>197</v>
      </c>
      <c r="D49" s="146">
        <v>197</v>
      </c>
      <c r="E49" s="146">
        <v>197</v>
      </c>
      <c r="F49" s="146">
        <v>197</v>
      </c>
      <c r="G49" s="146">
        <v>197</v>
      </c>
      <c r="H49" s="146">
        <v>197</v>
      </c>
      <c r="I49" s="146">
        <v>197</v>
      </c>
    </row>
    <row r="50" spans="2:9" x14ac:dyDescent="0.3">
      <c r="B50" s="120" t="s">
        <v>110</v>
      </c>
      <c r="C50" s="146">
        <v>80</v>
      </c>
      <c r="D50" s="146">
        <v>75</v>
      </c>
      <c r="E50" s="146">
        <v>80</v>
      </c>
      <c r="F50" s="146">
        <v>55</v>
      </c>
      <c r="G50" s="146">
        <v>80</v>
      </c>
      <c r="H50" s="146">
        <v>80</v>
      </c>
      <c r="I50" s="146">
        <v>80</v>
      </c>
    </row>
    <row r="51" spans="2:9" x14ac:dyDescent="0.3">
      <c r="B51" s="120" t="s">
        <v>111</v>
      </c>
      <c r="C51" s="146">
        <v>225</v>
      </c>
      <c r="D51" s="146">
        <v>300</v>
      </c>
      <c r="E51" s="146">
        <v>118</v>
      </c>
      <c r="F51" s="146">
        <v>116</v>
      </c>
      <c r="G51" s="146">
        <v>290</v>
      </c>
      <c r="H51" s="146">
        <v>205</v>
      </c>
      <c r="I51" s="146">
        <v>205</v>
      </c>
    </row>
    <row r="52" spans="2:9" x14ac:dyDescent="0.3">
      <c r="B52" s="120" t="s">
        <v>113</v>
      </c>
      <c r="C52" s="146">
        <v>502</v>
      </c>
      <c r="D52" s="146">
        <v>572</v>
      </c>
      <c r="E52" s="146">
        <v>395</v>
      </c>
      <c r="F52" s="146">
        <v>368</v>
      </c>
      <c r="G52" s="146">
        <v>567</v>
      </c>
      <c r="H52" s="146">
        <v>482</v>
      </c>
      <c r="I52" s="146">
        <v>482</v>
      </c>
    </row>
    <row r="53" spans="2:9" x14ac:dyDescent="0.3">
      <c r="B53" s="11"/>
      <c r="C53" s="119"/>
      <c r="D53" s="119"/>
      <c r="E53" s="119"/>
      <c r="F53" s="119"/>
      <c r="G53" s="119"/>
      <c r="H53" s="119"/>
      <c r="I53" s="119"/>
    </row>
    <row r="54" spans="2:9" x14ac:dyDescent="0.3">
      <c r="B54" s="120" t="s">
        <v>114</v>
      </c>
      <c r="C54" s="119"/>
      <c r="D54" s="119"/>
      <c r="E54" s="119"/>
      <c r="F54" s="119"/>
      <c r="G54" s="119"/>
      <c r="H54" s="119"/>
      <c r="I54" s="119"/>
    </row>
    <row r="55" spans="2:9" x14ac:dyDescent="0.3">
      <c r="B55" s="120" t="s">
        <v>115</v>
      </c>
      <c r="C55" s="146">
        <v>125</v>
      </c>
      <c r="D55" s="146">
        <v>140</v>
      </c>
      <c r="E55" s="146">
        <v>97</v>
      </c>
      <c r="F55" s="146">
        <v>125</v>
      </c>
      <c r="G55" s="146">
        <v>67</v>
      </c>
      <c r="H55" s="146">
        <v>125</v>
      </c>
      <c r="I55" s="146">
        <v>125</v>
      </c>
    </row>
    <row r="56" spans="2:9" x14ac:dyDescent="0.3">
      <c r="B56" s="120" t="s">
        <v>116</v>
      </c>
      <c r="C56" s="146">
        <v>41</v>
      </c>
      <c r="D56" s="146">
        <v>85</v>
      </c>
      <c r="E56" s="146">
        <v>31</v>
      </c>
      <c r="F56" s="146">
        <v>44</v>
      </c>
      <c r="G56" s="146">
        <v>77</v>
      </c>
      <c r="H56" s="146">
        <v>23</v>
      </c>
      <c r="I56" s="146">
        <v>23</v>
      </c>
    </row>
    <row r="57" spans="2:9" x14ac:dyDescent="0.3">
      <c r="B57" s="120" t="s">
        <v>117</v>
      </c>
      <c r="C57" s="146">
        <v>25</v>
      </c>
      <c r="D57" s="146">
        <v>25</v>
      </c>
      <c r="E57" s="146">
        <v>25</v>
      </c>
      <c r="F57" s="146">
        <v>25</v>
      </c>
      <c r="G57" s="146">
        <v>25</v>
      </c>
      <c r="H57" s="146">
        <v>25</v>
      </c>
      <c r="I57" s="146">
        <v>25</v>
      </c>
    </row>
    <row r="58" spans="2:9" x14ac:dyDescent="0.3">
      <c r="B58" s="120" t="s">
        <v>113</v>
      </c>
      <c r="C58" s="146">
        <v>191</v>
      </c>
      <c r="D58" s="146">
        <v>250</v>
      </c>
      <c r="E58" s="146">
        <v>153</v>
      </c>
      <c r="F58" s="146">
        <v>194</v>
      </c>
      <c r="G58" s="146">
        <v>169</v>
      </c>
      <c r="H58" s="146">
        <v>173</v>
      </c>
      <c r="I58" s="146">
        <v>173</v>
      </c>
    </row>
    <row r="59" spans="2:9" x14ac:dyDescent="0.3">
      <c r="B59" s="11"/>
      <c r="C59" s="119"/>
      <c r="D59" s="119"/>
      <c r="E59" s="119"/>
      <c r="F59" s="119"/>
      <c r="G59" s="119"/>
      <c r="H59" s="119"/>
      <c r="I59" s="119"/>
    </row>
    <row r="60" spans="2:9" x14ac:dyDescent="0.3">
      <c r="B60" s="120" t="s">
        <v>118</v>
      </c>
      <c r="C60" s="119"/>
      <c r="D60" s="119"/>
      <c r="E60" s="119"/>
      <c r="F60" s="119"/>
      <c r="G60" s="119"/>
      <c r="H60" s="119"/>
      <c r="I60" s="119"/>
    </row>
    <row r="61" spans="2:9" x14ac:dyDescent="0.3">
      <c r="B61" s="120" t="s">
        <v>152</v>
      </c>
      <c r="C61" s="146">
        <v>40</v>
      </c>
      <c r="D61" s="146">
        <v>200</v>
      </c>
      <c r="E61" s="146">
        <v>40</v>
      </c>
      <c r="F61" s="146">
        <v>40</v>
      </c>
      <c r="G61" s="146">
        <v>80</v>
      </c>
      <c r="H61" s="146">
        <v>40</v>
      </c>
      <c r="I61" s="146">
        <v>40</v>
      </c>
    </row>
    <row r="62" spans="2:9" x14ac:dyDescent="0.3">
      <c r="B62" s="120" t="s">
        <v>131</v>
      </c>
      <c r="C62" s="146">
        <v>76</v>
      </c>
      <c r="D62" s="146">
        <v>436</v>
      </c>
      <c r="E62" s="146">
        <v>28</v>
      </c>
      <c r="F62" s="146">
        <v>99</v>
      </c>
      <c r="G62" s="146">
        <v>126</v>
      </c>
      <c r="H62" s="146">
        <v>76</v>
      </c>
      <c r="I62" s="146">
        <v>76</v>
      </c>
    </row>
    <row r="63" spans="2:9" x14ac:dyDescent="0.3">
      <c r="B63" s="120" t="s">
        <v>113</v>
      </c>
      <c r="C63" s="146">
        <v>116</v>
      </c>
      <c r="D63" s="146">
        <v>636</v>
      </c>
      <c r="E63" s="146">
        <v>68</v>
      </c>
      <c r="F63" s="146">
        <v>139</v>
      </c>
      <c r="G63" s="146">
        <v>206</v>
      </c>
      <c r="H63" s="146">
        <v>116</v>
      </c>
      <c r="I63" s="146">
        <v>116</v>
      </c>
    </row>
    <row r="64" spans="2:9" x14ac:dyDescent="0.3">
      <c r="B64" s="11"/>
      <c r="C64" s="119"/>
      <c r="D64" s="119"/>
      <c r="E64" s="119"/>
      <c r="F64" s="119"/>
      <c r="G64" s="119"/>
      <c r="H64" s="119"/>
      <c r="I64" s="119"/>
    </row>
    <row r="65" spans="2:9" x14ac:dyDescent="0.3">
      <c r="B65" s="120" t="s">
        <v>121</v>
      </c>
      <c r="C65" s="119"/>
      <c r="D65" s="119"/>
      <c r="E65" s="119"/>
      <c r="F65" s="119"/>
      <c r="G65" s="119"/>
      <c r="H65" s="119"/>
      <c r="I65" s="119"/>
    </row>
    <row r="66" spans="2:9" x14ac:dyDescent="0.3">
      <c r="B66" s="120" t="s">
        <v>121</v>
      </c>
      <c r="C66" s="146">
        <v>420</v>
      </c>
      <c r="D66" s="146">
        <v>400</v>
      </c>
      <c r="E66" s="146">
        <v>420</v>
      </c>
      <c r="F66" s="146">
        <v>191</v>
      </c>
      <c r="G66" s="146">
        <v>165</v>
      </c>
      <c r="H66" s="146">
        <v>468</v>
      </c>
      <c r="I66" s="146">
        <v>550</v>
      </c>
    </row>
    <row r="67" spans="2:9" x14ac:dyDescent="0.3">
      <c r="B67" s="120" t="s">
        <v>124</v>
      </c>
      <c r="C67" s="146">
        <v>0</v>
      </c>
      <c r="D67" s="146">
        <v>0</v>
      </c>
      <c r="E67" s="146">
        <v>0</v>
      </c>
      <c r="F67" s="146">
        <v>0</v>
      </c>
      <c r="G67" s="146">
        <v>0</v>
      </c>
      <c r="H67" s="146">
        <v>0</v>
      </c>
      <c r="I67" s="146">
        <v>0</v>
      </c>
    </row>
    <row r="68" spans="2:9" x14ac:dyDescent="0.3">
      <c r="B68" s="120" t="s">
        <v>113</v>
      </c>
      <c r="C68" s="146">
        <v>420</v>
      </c>
      <c r="D68" s="146">
        <v>400</v>
      </c>
      <c r="E68" s="146">
        <v>420</v>
      </c>
      <c r="F68" s="146">
        <v>191</v>
      </c>
      <c r="G68" s="146">
        <v>165</v>
      </c>
      <c r="H68" s="146">
        <v>468</v>
      </c>
      <c r="I68" s="146">
        <v>550</v>
      </c>
    </row>
    <row r="70" spans="2:9" x14ac:dyDescent="0.3">
      <c r="B70" s="463" t="s">
        <v>3</v>
      </c>
      <c r="C70" s="464"/>
      <c r="D70" s="464"/>
      <c r="E70" s="465"/>
    </row>
    <row r="71" spans="2:9" x14ac:dyDescent="0.3">
      <c r="B71" s="129" t="s">
        <v>153</v>
      </c>
      <c r="C71" s="130">
        <v>16</v>
      </c>
      <c r="D71" s="11"/>
      <c r="E71" s="11"/>
    </row>
    <row r="72" spans="2:9" x14ac:dyDescent="0.3">
      <c r="B72" s="129" t="s">
        <v>154</v>
      </c>
      <c r="C72" s="130">
        <v>460</v>
      </c>
      <c r="D72" s="11"/>
      <c r="E72" s="11"/>
    </row>
    <row r="73" spans="2:9" x14ac:dyDescent="0.3">
      <c r="B73" s="129" t="s">
        <v>174</v>
      </c>
      <c r="C73" s="130">
        <v>46</v>
      </c>
      <c r="D73" s="11"/>
      <c r="E73" s="11"/>
    </row>
    <row r="74" spans="2:9" x14ac:dyDescent="0.3">
      <c r="B74" s="129" t="s">
        <v>25</v>
      </c>
      <c r="C74" s="125" t="s">
        <v>64</v>
      </c>
      <c r="D74" s="125" t="s">
        <v>88</v>
      </c>
      <c r="E74" s="125" t="s">
        <v>157</v>
      </c>
    </row>
    <row r="75" spans="2:9" x14ac:dyDescent="0.3">
      <c r="B75" s="125" t="s">
        <v>90</v>
      </c>
      <c r="C75" s="125">
        <v>905</v>
      </c>
      <c r="D75" s="125">
        <v>90</v>
      </c>
      <c r="E75" s="126">
        <v>0.18</v>
      </c>
    </row>
    <row r="76" spans="2:9" x14ac:dyDescent="0.3">
      <c r="B76" s="125" t="s">
        <v>33</v>
      </c>
      <c r="C76" s="125">
        <v>980</v>
      </c>
      <c r="D76" s="125">
        <v>52</v>
      </c>
      <c r="E76" s="126">
        <v>0.14000000000000001</v>
      </c>
    </row>
    <row r="77" spans="2:9" x14ac:dyDescent="0.3">
      <c r="B77" s="125" t="s">
        <v>31</v>
      </c>
      <c r="C77" s="125">
        <v>880</v>
      </c>
      <c r="D77" s="125">
        <v>55</v>
      </c>
      <c r="E77" s="126">
        <v>0.28000000000000003</v>
      </c>
    </row>
    <row r="78" spans="2:9" x14ac:dyDescent="0.3">
      <c r="B78" s="125" t="s">
        <v>34</v>
      </c>
      <c r="C78" s="125">
        <v>1100</v>
      </c>
      <c r="D78" s="125">
        <v>100</v>
      </c>
      <c r="E78" s="126">
        <v>0.22</v>
      </c>
    </row>
    <row r="79" spans="2:9" x14ac:dyDescent="0.3">
      <c r="B79" s="125" t="s">
        <v>35</v>
      </c>
      <c r="C79" s="125">
        <v>869</v>
      </c>
      <c r="D79" s="125">
        <v>67</v>
      </c>
      <c r="E79" s="126">
        <v>0.18</v>
      </c>
    </row>
    <row r="80" spans="2:9" x14ac:dyDescent="0.3">
      <c r="B80" s="125" t="s">
        <v>91</v>
      </c>
      <c r="C80" s="125">
        <v>965</v>
      </c>
      <c r="D80" s="125">
        <v>157</v>
      </c>
      <c r="E80" s="126">
        <v>0.21</v>
      </c>
    </row>
    <row r="81" spans="2:5" x14ac:dyDescent="0.3">
      <c r="B81" s="125" t="s">
        <v>92</v>
      </c>
      <c r="C81" s="125">
        <v>1085</v>
      </c>
      <c r="D81" s="125">
        <v>96</v>
      </c>
      <c r="E81" s="126">
        <v>0.28000000000000003</v>
      </c>
    </row>
    <row r="82" spans="2:5" x14ac:dyDescent="0.3">
      <c r="B82" s="125" t="s">
        <v>93</v>
      </c>
      <c r="C82" s="125">
        <v>1111</v>
      </c>
      <c r="D82" s="125">
        <v>85</v>
      </c>
      <c r="E82" s="126">
        <v>0.14000000000000001</v>
      </c>
    </row>
    <row r="83" spans="2:5" x14ac:dyDescent="0.3">
      <c r="B83" s="131" t="s">
        <v>86</v>
      </c>
      <c r="C83" s="125" t="s">
        <v>64</v>
      </c>
      <c r="D83" s="125" t="s">
        <v>88</v>
      </c>
      <c r="E83" s="125" t="s">
        <v>157</v>
      </c>
    </row>
    <row r="84" spans="2:5" x14ac:dyDescent="0.3">
      <c r="B84" s="127" t="s">
        <v>95</v>
      </c>
      <c r="C84" s="127">
        <v>940</v>
      </c>
      <c r="D84" s="127">
        <v>90</v>
      </c>
      <c r="E84" s="128">
        <v>0.31</v>
      </c>
    </row>
    <row r="85" spans="2:5" x14ac:dyDescent="0.3">
      <c r="B85" s="127" t="s">
        <v>96</v>
      </c>
      <c r="C85" s="127">
        <v>940</v>
      </c>
      <c r="D85" s="127">
        <v>120</v>
      </c>
      <c r="E85" s="128">
        <v>0.32</v>
      </c>
    </row>
    <row r="86" spans="2:5" x14ac:dyDescent="0.3">
      <c r="B86" s="127" t="s">
        <v>97</v>
      </c>
      <c r="C86" s="127">
        <v>900</v>
      </c>
      <c r="D86" s="127">
        <v>180</v>
      </c>
      <c r="E86" s="128">
        <v>0.39</v>
      </c>
    </row>
    <row r="87" spans="2:5" x14ac:dyDescent="0.3">
      <c r="B87" s="127" t="s">
        <v>98</v>
      </c>
      <c r="C87" s="127">
        <v>960</v>
      </c>
      <c r="D87" s="127">
        <v>90</v>
      </c>
      <c r="E87" s="128">
        <v>0.34</v>
      </c>
    </row>
    <row r="88" spans="2:5" x14ac:dyDescent="0.3">
      <c r="B88" s="127" t="s">
        <v>99</v>
      </c>
      <c r="C88" s="127">
        <v>1150</v>
      </c>
      <c r="D88" s="127">
        <v>86</v>
      </c>
      <c r="E88" s="128">
        <v>0.19</v>
      </c>
    </row>
    <row r="89" spans="2:5" x14ac:dyDescent="0.3">
      <c r="B89" s="127" t="s">
        <v>40</v>
      </c>
      <c r="C89" s="127">
        <v>1200</v>
      </c>
      <c r="D89" s="127">
        <v>73</v>
      </c>
      <c r="E89" s="128">
        <v>0.18</v>
      </c>
    </row>
    <row r="90" spans="2:5" x14ac:dyDescent="0.3">
      <c r="B90" s="127" t="s">
        <v>100</v>
      </c>
      <c r="C90" s="127">
        <v>1136</v>
      </c>
      <c r="D90" s="127">
        <v>250</v>
      </c>
      <c r="E90" s="128">
        <v>0.34</v>
      </c>
    </row>
    <row r="92" spans="2:5" x14ac:dyDescent="0.3">
      <c r="B92" s="463" t="s">
        <v>84</v>
      </c>
      <c r="C92" s="465"/>
    </row>
    <row r="93" spans="2:5" x14ac:dyDescent="0.3">
      <c r="B93" s="131" t="s">
        <v>78</v>
      </c>
      <c r="C93" s="133">
        <v>0.38500000000000001</v>
      </c>
    </row>
    <row r="94" spans="2:5" x14ac:dyDescent="0.3">
      <c r="B94" s="131"/>
      <c r="C94" s="131"/>
    </row>
    <row r="95" spans="2:5" x14ac:dyDescent="0.3">
      <c r="B95" s="125" t="s">
        <v>158</v>
      </c>
      <c r="C95" s="132">
        <v>0</v>
      </c>
    </row>
    <row r="96" spans="2:5" x14ac:dyDescent="0.3">
      <c r="B96" s="125" t="s">
        <v>159</v>
      </c>
      <c r="C96" s="133">
        <v>5.0000000000000001E-3</v>
      </c>
    </row>
    <row r="97" spans="2:3" x14ac:dyDescent="0.3">
      <c r="B97" s="125" t="s">
        <v>160</v>
      </c>
      <c r="C97" s="133">
        <v>0.01</v>
      </c>
    </row>
    <row r="98" spans="2:3" x14ac:dyDescent="0.3">
      <c r="B98" s="125" t="s">
        <v>161</v>
      </c>
      <c r="C98" s="133">
        <v>0.04</v>
      </c>
    </row>
    <row r="99" spans="2:3" x14ac:dyDescent="0.3">
      <c r="B99" s="125" t="s">
        <v>162</v>
      </c>
      <c r="C99" s="133">
        <v>0.12</v>
      </c>
    </row>
    <row r="100" spans="2:3" x14ac:dyDescent="0.3">
      <c r="B100" s="125" t="s">
        <v>163</v>
      </c>
      <c r="C100" s="133">
        <v>0.161</v>
      </c>
    </row>
    <row r="101" spans="2:3" x14ac:dyDescent="0.3">
      <c r="B101" s="125" t="s">
        <v>94</v>
      </c>
      <c r="C101" s="134">
        <v>0</v>
      </c>
    </row>
    <row r="103" spans="2:3" x14ac:dyDescent="0.3">
      <c r="B103" s="463" t="s">
        <v>164</v>
      </c>
      <c r="C103" s="465"/>
    </row>
    <row r="104" spans="2:3" x14ac:dyDescent="0.3">
      <c r="B104" s="127" t="s">
        <v>82</v>
      </c>
      <c r="C104" s="139">
        <v>27</v>
      </c>
    </row>
    <row r="105" spans="2:3" x14ac:dyDescent="0.3">
      <c r="B105" s="127" t="s">
        <v>83</v>
      </c>
      <c r="C105" s="128">
        <v>0.3</v>
      </c>
    </row>
    <row r="106" spans="2:3" x14ac:dyDescent="0.3">
      <c r="B106" s="127" t="s">
        <v>167</v>
      </c>
      <c r="C106" s="140">
        <v>810</v>
      </c>
    </row>
    <row r="107" spans="2:3" x14ac:dyDescent="0.3">
      <c r="B107" s="127"/>
      <c r="C107" s="140"/>
    </row>
    <row r="108" spans="2:3" x14ac:dyDescent="0.3">
      <c r="B108" s="125" t="s">
        <v>171</v>
      </c>
      <c r="C108" s="141">
        <v>26</v>
      </c>
    </row>
    <row r="109" spans="2:3" x14ac:dyDescent="0.3">
      <c r="B109" s="127" t="s">
        <v>85</v>
      </c>
      <c r="C109" s="142">
        <v>10</v>
      </c>
    </row>
    <row r="110" spans="2:3" x14ac:dyDescent="0.3">
      <c r="B110" s="127" t="s">
        <v>170</v>
      </c>
      <c r="C110" s="143">
        <f>C108*C109</f>
        <v>260</v>
      </c>
    </row>
    <row r="111" spans="2:3" x14ac:dyDescent="0.3">
      <c r="B111" s="127"/>
      <c r="C111" s="140"/>
    </row>
    <row r="112" spans="2:3" x14ac:dyDescent="0.3">
      <c r="B112" s="127" t="s">
        <v>169</v>
      </c>
      <c r="C112" s="143">
        <v>141</v>
      </c>
    </row>
    <row r="113" spans="2:3" x14ac:dyDescent="0.3">
      <c r="B113" s="127"/>
      <c r="C113" s="140"/>
    </row>
    <row r="114" spans="2:3" x14ac:dyDescent="0.3">
      <c r="B114" s="127" t="s">
        <v>165</v>
      </c>
      <c r="C114" s="143">
        <v>229</v>
      </c>
    </row>
    <row r="116" spans="2:3" x14ac:dyDescent="0.3">
      <c r="B116" s="457" t="s">
        <v>185</v>
      </c>
      <c r="C116" s="457"/>
    </row>
    <row r="117" spans="2:3" x14ac:dyDescent="0.3">
      <c r="B117" s="125">
        <v>0</v>
      </c>
      <c r="C117" s="125">
        <v>32.4</v>
      </c>
    </row>
    <row r="118" spans="2:3" x14ac:dyDescent="0.3">
      <c r="B118" s="125">
        <v>5625</v>
      </c>
      <c r="C118" s="125">
        <v>34</v>
      </c>
    </row>
    <row r="119" spans="2:3" x14ac:dyDescent="0.3">
      <c r="B119" s="125">
        <v>5875</v>
      </c>
      <c r="C119" s="125">
        <v>34.799999999999997</v>
      </c>
    </row>
    <row r="120" spans="2:3" x14ac:dyDescent="0.3">
      <c r="B120" s="125">
        <v>6125</v>
      </c>
      <c r="C120" s="125">
        <v>35.5</v>
      </c>
    </row>
    <row r="121" spans="2:3" x14ac:dyDescent="0.3">
      <c r="B121" s="125">
        <v>6375</v>
      </c>
      <c r="C121" s="125">
        <v>36.200000000000003</v>
      </c>
    </row>
    <row r="122" spans="2:3" x14ac:dyDescent="0.3">
      <c r="B122" s="125">
        <v>6625</v>
      </c>
      <c r="C122" s="125">
        <v>36.9</v>
      </c>
    </row>
    <row r="123" spans="2:3" x14ac:dyDescent="0.3">
      <c r="B123" s="125">
        <v>6875</v>
      </c>
      <c r="C123" s="125">
        <v>37.700000000000003</v>
      </c>
    </row>
    <row r="124" spans="2:3" x14ac:dyDescent="0.3">
      <c r="B124" s="125">
        <v>7125</v>
      </c>
      <c r="C124" s="125">
        <v>38.4</v>
      </c>
    </row>
    <row r="125" spans="2:3" x14ac:dyDescent="0.3">
      <c r="B125" s="125">
        <v>7375</v>
      </c>
      <c r="C125" s="125">
        <v>39.1</v>
      </c>
    </row>
    <row r="126" spans="2:3" x14ac:dyDescent="0.3">
      <c r="B126" s="125">
        <v>7625</v>
      </c>
      <c r="C126" s="125">
        <v>39.799999999999997</v>
      </c>
    </row>
    <row r="127" spans="2:3" x14ac:dyDescent="0.3">
      <c r="B127" s="125">
        <v>7875</v>
      </c>
      <c r="C127" s="125">
        <v>40.6</v>
      </c>
    </row>
    <row r="128" spans="2:3" x14ac:dyDescent="0.3">
      <c r="B128" s="125">
        <v>8125</v>
      </c>
      <c r="C128" s="125">
        <v>41.3</v>
      </c>
    </row>
    <row r="129" spans="2:3" x14ac:dyDescent="0.3">
      <c r="B129" s="125">
        <v>8375</v>
      </c>
      <c r="C129" s="125">
        <v>42</v>
      </c>
    </row>
    <row r="130" spans="2:3" x14ac:dyDescent="0.3">
      <c r="B130" s="125">
        <v>8625</v>
      </c>
      <c r="C130" s="125">
        <v>42.7</v>
      </c>
    </row>
    <row r="131" spans="2:3" x14ac:dyDescent="0.3">
      <c r="B131" s="125">
        <v>8875</v>
      </c>
      <c r="C131" s="125">
        <v>43.5</v>
      </c>
    </row>
    <row r="132" spans="2:3" x14ac:dyDescent="0.3">
      <c r="B132" s="125">
        <v>9125</v>
      </c>
      <c r="C132" s="125">
        <v>44.2</v>
      </c>
    </row>
    <row r="133" spans="2:3" x14ac:dyDescent="0.3">
      <c r="B133" s="125">
        <v>9375</v>
      </c>
      <c r="C133" s="125">
        <v>44.9</v>
      </c>
    </row>
    <row r="134" spans="2:3" x14ac:dyDescent="0.3">
      <c r="B134" s="125">
        <v>9625</v>
      </c>
      <c r="C134" s="125">
        <v>45.6</v>
      </c>
    </row>
    <row r="135" spans="2:3" x14ac:dyDescent="0.3">
      <c r="B135" s="125">
        <v>9875</v>
      </c>
      <c r="C135" s="125">
        <v>46.4</v>
      </c>
    </row>
    <row r="136" spans="2:3" x14ac:dyDescent="0.3">
      <c r="B136" s="125">
        <v>10125</v>
      </c>
      <c r="C136" s="125">
        <v>47.1</v>
      </c>
    </row>
    <row r="137" spans="2:3" x14ac:dyDescent="0.3">
      <c r="B137" s="125">
        <v>10375</v>
      </c>
      <c r="C137" s="125">
        <v>47.8</v>
      </c>
    </row>
    <row r="138" spans="2:3" x14ac:dyDescent="0.3">
      <c r="B138" s="125">
        <v>10625</v>
      </c>
      <c r="C138" s="125">
        <v>49.3</v>
      </c>
    </row>
    <row r="140" spans="2:3" x14ac:dyDescent="0.3">
      <c r="B140" s="125" t="s">
        <v>188</v>
      </c>
      <c r="C140" s="126">
        <v>155</v>
      </c>
    </row>
    <row r="141" spans="2:3" x14ac:dyDescent="0.3">
      <c r="B141" s="125" t="s">
        <v>189</v>
      </c>
      <c r="C141" s="126">
        <v>20</v>
      </c>
    </row>
    <row r="142" spans="2:3" x14ac:dyDescent="0.3">
      <c r="B142" s="125" t="s">
        <v>190</v>
      </c>
      <c r="C142" s="269">
        <v>0.1</v>
      </c>
    </row>
  </sheetData>
  <sheetProtection sheet="1" objects="1" scenarios="1" selectLockedCells="1" selectUnlockedCells="1"/>
  <mergeCells count="30">
    <mergeCell ref="B2:H2"/>
    <mergeCell ref="E4:F4"/>
    <mergeCell ref="E5:F5"/>
    <mergeCell ref="E6:F6"/>
    <mergeCell ref="G8:H8"/>
    <mergeCell ref="G4:H4"/>
    <mergeCell ref="G3:H3"/>
    <mergeCell ref="G5:H5"/>
    <mergeCell ref="G6:H6"/>
    <mergeCell ref="G7:H7"/>
    <mergeCell ref="E7:F7"/>
    <mergeCell ref="E8:F8"/>
    <mergeCell ref="C3:D3"/>
    <mergeCell ref="E3:F3"/>
    <mergeCell ref="C8:D8"/>
    <mergeCell ref="B116:C116"/>
    <mergeCell ref="C4:D4"/>
    <mergeCell ref="C5:D5"/>
    <mergeCell ref="C6:D6"/>
    <mergeCell ref="C7:D7"/>
    <mergeCell ref="B12:I12"/>
    <mergeCell ref="B70:E70"/>
    <mergeCell ref="B92:C92"/>
    <mergeCell ref="B103:C103"/>
    <mergeCell ref="E9:F9"/>
    <mergeCell ref="E10:F10"/>
    <mergeCell ref="G9:H9"/>
    <mergeCell ref="G10:H10"/>
    <mergeCell ref="C9:D9"/>
    <mergeCell ref="C10:D10"/>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504CF-77AB-4EEF-B9A9-083F5EAB7442}">
  <sheetPr codeName="Blad1">
    <tabColor theme="2" tint="-0.249977111117893"/>
  </sheetPr>
  <dimension ref="B4:L31"/>
  <sheetViews>
    <sheetView showGridLines="0" zoomScale="80" zoomScaleNormal="80" workbookViewId="0">
      <selection activeCell="C18" sqref="C18"/>
    </sheetView>
  </sheetViews>
  <sheetFormatPr defaultColWidth="8.77734375" defaultRowHeight="14.4" x14ac:dyDescent="0.3"/>
  <cols>
    <col min="1" max="1" width="2.77734375" customWidth="1"/>
    <col min="2" max="2" width="25.5546875" customWidth="1"/>
    <col min="3" max="3" width="29.21875" customWidth="1"/>
    <col min="4" max="4" width="10.6640625" customWidth="1"/>
    <col min="5" max="5" width="1.77734375" style="9" customWidth="1"/>
    <col min="6" max="6" width="29.21875" customWidth="1"/>
    <col min="7" max="7" width="10.6640625" customWidth="1"/>
    <col min="8" max="8" width="1.77734375" style="9" customWidth="1"/>
    <col min="9" max="9" width="26.44140625" customWidth="1"/>
    <col min="10" max="10" width="20.21875" customWidth="1"/>
    <col min="11" max="11" width="17.44140625" customWidth="1"/>
    <col min="12" max="12" width="12.21875" bestFit="1" customWidth="1"/>
  </cols>
  <sheetData>
    <row r="4" spans="2:10" x14ac:dyDescent="0.3">
      <c r="B4" s="345" t="s">
        <v>84</v>
      </c>
      <c r="C4" s="346"/>
      <c r="D4" s="346"/>
      <c r="E4" s="346"/>
      <c r="F4" s="346"/>
      <c r="G4" s="346"/>
      <c r="H4" s="347"/>
    </row>
    <row r="5" spans="2:10" x14ac:dyDescent="0.3">
      <c r="B5" s="348"/>
      <c r="C5" s="349"/>
      <c r="D5" s="349"/>
      <c r="E5" s="349"/>
      <c r="F5" s="349"/>
      <c r="G5" s="349"/>
      <c r="H5" s="350"/>
    </row>
    <row r="7" spans="2:10" x14ac:dyDescent="0.3">
      <c r="B7" s="193"/>
      <c r="C7" s="399" t="s">
        <v>58</v>
      </c>
      <c r="D7" s="400"/>
      <c r="E7" s="209"/>
      <c r="F7" s="396" t="s">
        <v>59</v>
      </c>
      <c r="G7" s="396"/>
    </row>
    <row r="8" spans="2:10" x14ac:dyDescent="0.3">
      <c r="B8" s="397" t="s">
        <v>74</v>
      </c>
      <c r="C8" s="398"/>
      <c r="D8" s="398"/>
      <c r="E8" s="413"/>
      <c r="F8" s="398" t="str">
        <f>IF(MIN(Voer!F71,Voer!F73)&lt;0,MIN(Voer!F71,Voer!F73),CONCATENATE("+",MIN(Voer!F71,Voer!F73)))</f>
        <v>+0</v>
      </c>
      <c r="G8" s="398"/>
    </row>
    <row r="9" spans="2:10" x14ac:dyDescent="0.3">
      <c r="B9" s="397"/>
      <c r="C9" s="398"/>
      <c r="D9" s="398"/>
      <c r="E9" s="414"/>
      <c r="F9" s="398"/>
      <c r="G9" s="398"/>
    </row>
    <row r="10" spans="2:10" x14ac:dyDescent="0.3">
      <c r="B10" s="11" t="s">
        <v>75</v>
      </c>
      <c r="C10" s="407"/>
      <c r="D10" s="407"/>
      <c r="E10" s="414"/>
      <c r="F10" s="407"/>
      <c r="G10" s="407"/>
    </row>
    <row r="11" spans="2:10" x14ac:dyDescent="0.3">
      <c r="B11" s="11" t="s">
        <v>76</v>
      </c>
      <c r="C11" s="390">
        <f>Voer!D18</f>
        <v>0</v>
      </c>
      <c r="D11" s="390"/>
      <c r="E11" s="415"/>
      <c r="F11" s="408">
        <f>Voer!E18</f>
        <v>0</v>
      </c>
      <c r="G11" s="408"/>
      <c r="I11" s="106"/>
    </row>
    <row r="13" spans="2:10" x14ac:dyDescent="0.3">
      <c r="B13" s="210" t="s">
        <v>77</v>
      </c>
      <c r="C13" s="405"/>
      <c r="D13" s="405"/>
      <c r="H13"/>
    </row>
    <row r="14" spans="2:10" ht="14.1" customHeight="1" x14ac:dyDescent="0.3">
      <c r="B14" s="11" t="s">
        <v>78</v>
      </c>
      <c r="C14" s="411">
        <f>Gegevens!C93</f>
        <v>0.38500000000000001</v>
      </c>
      <c r="D14" s="411"/>
      <c r="F14" s="416"/>
      <c r="G14" s="416"/>
    </row>
    <row r="15" spans="2:10" ht="14.1" customHeight="1" x14ac:dyDescent="0.3">
      <c r="B15" s="11" t="s">
        <v>79</v>
      </c>
      <c r="C15" s="410"/>
      <c r="D15" s="410"/>
      <c r="F15" s="52"/>
      <c r="G15" s="52"/>
      <c r="J15" s="151"/>
    </row>
    <row r="16" spans="2:10" ht="14.1" customHeight="1" x14ac:dyDescent="0.3">
      <c r="C16" s="409"/>
      <c r="D16" s="409"/>
    </row>
    <row r="17" spans="2:12" x14ac:dyDescent="0.3">
      <c r="B17" s="193"/>
      <c r="C17" s="405" t="s">
        <v>58</v>
      </c>
      <c r="D17" s="405"/>
      <c r="E17" s="190"/>
      <c r="F17" s="193" t="s">
        <v>59</v>
      </c>
      <c r="G17" s="193"/>
      <c r="I17" s="36"/>
    </row>
    <row r="18" spans="2:12" x14ac:dyDescent="0.3">
      <c r="B18" s="11" t="s">
        <v>80</v>
      </c>
      <c r="C18" s="277" t="b">
        <v>1</v>
      </c>
      <c r="D18" s="147">
        <f>Gegevens!C95</f>
        <v>0</v>
      </c>
      <c r="E18" s="412"/>
      <c r="F18" s="277" t="b">
        <v>1</v>
      </c>
      <c r="G18" s="147">
        <f>Gegevens!C95</f>
        <v>0</v>
      </c>
      <c r="I18" s="36"/>
    </row>
    <row r="19" spans="2:12" x14ac:dyDescent="0.3">
      <c r="B19" s="11"/>
      <c r="C19" s="277" t="b">
        <v>0</v>
      </c>
      <c r="D19" s="147">
        <f>Gegevens!C96</f>
        <v>5.0000000000000001E-3</v>
      </c>
      <c r="E19" s="412"/>
      <c r="F19" s="277" t="b">
        <v>0</v>
      </c>
      <c r="G19" s="147">
        <f>Gegevens!C96</f>
        <v>5.0000000000000001E-3</v>
      </c>
      <c r="I19" s="36"/>
    </row>
    <row r="20" spans="2:12" x14ac:dyDescent="0.3">
      <c r="B20" s="11"/>
      <c r="C20" s="277" t="b">
        <v>0</v>
      </c>
      <c r="D20" s="147">
        <f>Gegevens!C97</f>
        <v>0.01</v>
      </c>
      <c r="E20" s="412"/>
      <c r="F20" s="277" t="b">
        <v>0</v>
      </c>
      <c r="G20" s="147">
        <f>Gegevens!C97</f>
        <v>0.01</v>
      </c>
      <c r="I20" s="36"/>
    </row>
    <row r="21" spans="2:12" x14ac:dyDescent="0.3">
      <c r="B21" s="11"/>
      <c r="C21" s="277" t="b">
        <v>0</v>
      </c>
      <c r="D21" s="147">
        <f>Gegevens!C98</f>
        <v>0.04</v>
      </c>
      <c r="E21" s="412"/>
      <c r="F21" s="277" t="b">
        <v>0</v>
      </c>
      <c r="G21" s="147">
        <f>Gegevens!C98</f>
        <v>0.04</v>
      </c>
      <c r="I21" s="36"/>
    </row>
    <row r="22" spans="2:12" ht="14.55" customHeight="1" x14ac:dyDescent="0.3">
      <c r="B22" s="11"/>
      <c r="C22" s="277" t="b">
        <v>0</v>
      </c>
      <c r="D22" s="147">
        <f>Gegevens!C99</f>
        <v>0.12</v>
      </c>
      <c r="E22" s="412"/>
      <c r="F22" s="277" t="b">
        <v>0</v>
      </c>
      <c r="G22" s="147">
        <f>Gegevens!C99</f>
        <v>0.12</v>
      </c>
      <c r="I22" s="406" t="str">
        <f>IF(F22=TRUE,"Houd er rekening mee, dat de meerkosten voor biologisch niet automatisch worden meegenomen in de rekentool",IF(F23=TRUE,"Houd er rekening mee, dat de meerkosten voor biologisch niet automatisch worden meegenomen in de rekentool",""))</f>
        <v/>
      </c>
      <c r="J22" s="406"/>
      <c r="K22" s="406"/>
      <c r="L22" s="406"/>
    </row>
    <row r="23" spans="2:12" x14ac:dyDescent="0.3">
      <c r="B23" s="11"/>
      <c r="C23" s="277" t="b">
        <v>0</v>
      </c>
      <c r="D23" s="147">
        <f>Gegevens!C100</f>
        <v>0.161</v>
      </c>
      <c r="E23" s="412"/>
      <c r="F23" s="277" t="b">
        <v>0</v>
      </c>
      <c r="G23" s="147">
        <f>Gegevens!C100</f>
        <v>0.161</v>
      </c>
      <c r="I23" s="406"/>
      <c r="J23" s="406"/>
      <c r="K23" s="406"/>
      <c r="L23" s="406"/>
    </row>
    <row r="24" spans="2:12" x14ac:dyDescent="0.3">
      <c r="B24" s="11"/>
      <c r="C24" s="277" t="b">
        <v>0</v>
      </c>
      <c r="D24" s="283">
        <v>0</v>
      </c>
      <c r="E24" s="412"/>
      <c r="F24" s="277" t="b">
        <v>0</v>
      </c>
      <c r="G24" s="283">
        <v>0</v>
      </c>
      <c r="I24" s="36"/>
    </row>
    <row r="25" spans="2:12" ht="2.5499999999999998" customHeight="1" x14ac:dyDescent="0.3">
      <c r="C25" s="22"/>
      <c r="D25" s="22"/>
      <c r="F25" s="20"/>
      <c r="G25" s="20"/>
    </row>
    <row r="26" spans="2:12" x14ac:dyDescent="0.3">
      <c r="C26" s="66"/>
      <c r="D26" s="66"/>
      <c r="E26" s="67"/>
      <c r="F26" s="66"/>
      <c r="G26" s="66"/>
      <c r="H26" s="67"/>
    </row>
    <row r="27" spans="2:12" x14ac:dyDescent="0.3">
      <c r="B27" s="193"/>
      <c r="C27" s="405" t="s">
        <v>58</v>
      </c>
      <c r="D27" s="405"/>
      <c r="E27" s="209"/>
      <c r="F27" s="405" t="s">
        <v>59</v>
      </c>
      <c r="G27" s="405"/>
      <c r="H27" s="209"/>
      <c r="I27" s="202" t="s">
        <v>54</v>
      </c>
    </row>
    <row r="28" spans="2:12" x14ac:dyDescent="0.3">
      <c r="B28" s="11" t="s">
        <v>81</v>
      </c>
      <c r="C28" s="403">
        <f>C11*C10</f>
        <v>0</v>
      </c>
      <c r="D28" s="403"/>
      <c r="E28" s="256"/>
      <c r="F28" s="403">
        <f>F11*F10</f>
        <v>0</v>
      </c>
      <c r="G28" s="403"/>
      <c r="H28" s="256"/>
      <c r="I28" s="44">
        <f>F28-C28</f>
        <v>0</v>
      </c>
    </row>
    <row r="29" spans="2:12" ht="15" thickBot="1" x14ac:dyDescent="0.35">
      <c r="B29" s="84" t="s">
        <v>77</v>
      </c>
      <c r="C29" s="404">
        <f>IF(COUNTIF(C18:C24,"ONWAAR")=7,"Kies één van bovenstaande melkstromen!",IF(COUNTIF(C18:C24,"ONWAAR")&lt;6,"Er staan meerdere melkstromen aangevinkt",IF(C18=TRUE,D18+(IF(C15=0,C14,C15)),IF(C19=TRUE,D19+(IF(C15=0,C14,C15)),IF(C20=TRUE,D20+(IF(C15=0,C14,C15)),IF(C21=TRUE,D21+(IF(C15=0,C14,C15)),IF(C22=TRUE,D22+(IF(C15=0,C14,C15)),IF(C23=TRUE,D23+(IF(C15=0,C14,C15)),IF(C24=TRUE,IF(D24=0,"Vul eigen premie in",D24+(IF(C15=0,C14,C15))),"foute formule")))))))))</f>
        <v>0.38500000000000001</v>
      </c>
      <c r="D29" s="404"/>
      <c r="E29" s="257"/>
      <c r="F29" s="404">
        <f>IF(COUNTIF(F18:F24,"ONWAAR")=7,"Kies één van bovenstaande melkstromen!",IF(COUNTIF(F18:F24,"ONWAAR")&lt;6,"Er staan meerdere melkstromen aangevinkt",IF(F18=TRUE,G18+(IF(C15=0,C14,C15)),IF(F19=TRUE,G19+(IF(C15=0,C14,C15)),IF(F20=TRUE,G20+(IF(C15=0,C14,C15)),IF(F21=TRUE,G21+(IF(C15=0,C14,C15)),IF(F22=TRUE,G22+(IF(C15=0,C14,C15)),IF(F23=TRUE,G23+(IF(C15=0,C14,C15)),IF(F24=TRUE,IF(G24=0,"Vul eigen premie in",G24+(IF(C15=0,C14,C15))),"foute formule")))))))))</f>
        <v>0.38500000000000001</v>
      </c>
      <c r="G29" s="404"/>
      <c r="H29" s="257"/>
      <c r="I29" s="70">
        <f>F29-C29</f>
        <v>0</v>
      </c>
    </row>
    <row r="30" spans="2:12" ht="15" thickBot="1" x14ac:dyDescent="0.35">
      <c r="B30" s="251" t="s">
        <v>241</v>
      </c>
      <c r="C30" s="402">
        <f>MROUND(C28*C29,100)</f>
        <v>0</v>
      </c>
      <c r="D30" s="402"/>
      <c r="E30" s="258"/>
      <c r="F30" s="402">
        <f>MROUND(F28*F29,100)</f>
        <v>0</v>
      </c>
      <c r="G30" s="402"/>
      <c r="H30" s="258"/>
      <c r="I30" s="259">
        <f>F30-C30</f>
        <v>0</v>
      </c>
    </row>
    <row r="31" spans="2:12" x14ac:dyDescent="0.3">
      <c r="F31" s="401"/>
      <c r="G31" s="401"/>
      <c r="I31" s="20"/>
    </row>
  </sheetData>
  <sheetProtection sheet="1" objects="1" scenarios="1" selectLockedCells="1"/>
  <mergeCells count="28">
    <mergeCell ref="F27:G27"/>
    <mergeCell ref="C27:D27"/>
    <mergeCell ref="C30:D30"/>
    <mergeCell ref="I22:L23"/>
    <mergeCell ref="C10:D10"/>
    <mergeCell ref="F10:G10"/>
    <mergeCell ref="C11:D11"/>
    <mergeCell ref="F11:G11"/>
    <mergeCell ref="C17:D17"/>
    <mergeCell ref="C16:D16"/>
    <mergeCell ref="C15:D15"/>
    <mergeCell ref="C13:D13"/>
    <mergeCell ref="C14:D14"/>
    <mergeCell ref="E18:E24"/>
    <mergeCell ref="E8:E11"/>
    <mergeCell ref="F14:G14"/>
    <mergeCell ref="F31:G31"/>
    <mergeCell ref="F30:G30"/>
    <mergeCell ref="F28:G28"/>
    <mergeCell ref="C29:D29"/>
    <mergeCell ref="C28:D28"/>
    <mergeCell ref="F29:G29"/>
    <mergeCell ref="B4:H5"/>
    <mergeCell ref="F7:G7"/>
    <mergeCell ref="B8:B9"/>
    <mergeCell ref="C8:D9"/>
    <mergeCell ref="F8:G9"/>
    <mergeCell ref="C7:D7"/>
  </mergeCells>
  <conditionalFormatting sqref="C26 E26:F26 H26">
    <cfRule type="containsText" dxfId="138" priority="8" operator="containsText" text="melkstromen">
      <formula>NOT(ISERROR(SEARCH("melkstromen",C26)))</formula>
    </cfRule>
  </conditionalFormatting>
  <conditionalFormatting sqref="C29:D29 F29:G29">
    <cfRule type="containsText" dxfId="137" priority="3" operator="containsText" text="premie">
      <formula>NOT(ISERROR(SEARCH("premie",C29)))</formula>
    </cfRule>
    <cfRule type="containsText" dxfId="136" priority="4" operator="containsText" text="melkstromen">
      <formula>NOT(ISERROR(SEARCH("melkstromen",C29)))</formula>
    </cfRule>
  </conditionalFormatting>
  <conditionalFormatting sqref="I22">
    <cfRule type="containsText" dxfId="135" priority="1" operator="containsText" text="rekening">
      <formula>NOT(ISERROR(SEARCH("rekening",I22)))</formula>
    </cfRule>
  </conditionalFormatting>
  <dataValidations count="2">
    <dataValidation type="decimal" operator="greaterThanOrEqual" allowBlank="1" showInputMessage="1" showErrorMessage="1" errorTitle="Fout" error="Typ een getal groter of gelijk aan 0." sqref="C10:D10 F10:G10 C15:D15" xr:uid="{781339CB-287D-47A9-9CE2-9EB6EAD5408B}">
      <formula1>0</formula1>
    </dataValidation>
    <dataValidation type="decimal" allowBlank="1" showInputMessage="1" showErrorMessage="1" errorTitle="Fout" error="Typ een getal in tussen de 0,000 en 0,500." sqref="D24 G24" xr:uid="{C434FFA9-A742-4B3E-ADE5-4EEB8C81F7C0}">
      <formula1>0</formula1>
      <formula2>0.5</formula2>
    </dataValidation>
  </dataValidations>
  <hyperlinks>
    <hyperlink ref="F11:G11" location="Voer!A1" display="Voer!A1" xr:uid="{2A45AA4A-A31D-4B6B-8647-99AD2A9470FD}"/>
  </hyperlinks>
  <pageMargins left="0.7" right="0.7" top="0.75" bottom="0.75" header="0.3" footer="0.3"/>
  <pageSetup paperSize="9" orientation="portrait" horizont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7203" r:id="rId4" name="Check Box 35">
              <controlPr defaultSize="0" autoFill="0" autoLine="0" autoPict="0">
                <anchor moveWithCells="1">
                  <from>
                    <xdr:col>2</xdr:col>
                    <xdr:colOff>7620</xdr:colOff>
                    <xdr:row>21</xdr:row>
                    <xdr:rowOff>7620</xdr:rowOff>
                  </from>
                  <to>
                    <xdr:col>2</xdr:col>
                    <xdr:colOff>876300</xdr:colOff>
                    <xdr:row>22</xdr:row>
                    <xdr:rowOff>7620</xdr:rowOff>
                  </to>
                </anchor>
              </controlPr>
            </control>
          </mc:Choice>
        </mc:AlternateContent>
        <mc:AlternateContent xmlns:mc="http://schemas.openxmlformats.org/markup-compatibility/2006">
          <mc:Choice Requires="x14">
            <control shapeId="7205" r:id="rId5" name="Check Box 37">
              <controlPr defaultSize="0" autoFill="0" autoLine="0" autoPict="0">
                <anchor moveWithCells="1">
                  <from>
                    <xdr:col>2</xdr:col>
                    <xdr:colOff>0</xdr:colOff>
                    <xdr:row>17</xdr:row>
                    <xdr:rowOff>0</xdr:rowOff>
                  </from>
                  <to>
                    <xdr:col>2</xdr:col>
                    <xdr:colOff>868680</xdr:colOff>
                    <xdr:row>18</xdr:row>
                    <xdr:rowOff>0</xdr:rowOff>
                  </to>
                </anchor>
              </controlPr>
            </control>
          </mc:Choice>
        </mc:AlternateContent>
        <mc:AlternateContent xmlns:mc="http://schemas.openxmlformats.org/markup-compatibility/2006">
          <mc:Choice Requires="x14">
            <control shapeId="7206" r:id="rId6" name="Check Box 38">
              <controlPr defaultSize="0" autoFill="0" autoLine="0" autoPict="0">
                <anchor moveWithCells="1">
                  <from>
                    <xdr:col>2</xdr:col>
                    <xdr:colOff>7620</xdr:colOff>
                    <xdr:row>22</xdr:row>
                    <xdr:rowOff>7620</xdr:rowOff>
                  </from>
                  <to>
                    <xdr:col>2</xdr:col>
                    <xdr:colOff>1264920</xdr:colOff>
                    <xdr:row>23</xdr:row>
                    <xdr:rowOff>7620</xdr:rowOff>
                  </to>
                </anchor>
              </controlPr>
            </control>
          </mc:Choice>
        </mc:AlternateContent>
        <mc:AlternateContent xmlns:mc="http://schemas.openxmlformats.org/markup-compatibility/2006">
          <mc:Choice Requires="x14">
            <control shapeId="7207" r:id="rId7" name="Check Box 39">
              <controlPr defaultSize="0" autoFill="0" autoLine="0" autoPict="0">
                <anchor moveWithCells="1">
                  <from>
                    <xdr:col>2</xdr:col>
                    <xdr:colOff>0</xdr:colOff>
                    <xdr:row>19</xdr:row>
                    <xdr:rowOff>7620</xdr:rowOff>
                  </from>
                  <to>
                    <xdr:col>2</xdr:col>
                    <xdr:colOff>868680</xdr:colOff>
                    <xdr:row>20</xdr:row>
                    <xdr:rowOff>7620</xdr:rowOff>
                  </to>
                </anchor>
              </controlPr>
            </control>
          </mc:Choice>
        </mc:AlternateContent>
        <mc:AlternateContent xmlns:mc="http://schemas.openxmlformats.org/markup-compatibility/2006">
          <mc:Choice Requires="x14">
            <control shapeId="7208" r:id="rId8" name="Check Box 40">
              <controlPr defaultSize="0" autoFill="0" autoLine="0" autoPict="0">
                <anchor moveWithCells="1">
                  <from>
                    <xdr:col>2</xdr:col>
                    <xdr:colOff>0</xdr:colOff>
                    <xdr:row>18</xdr:row>
                    <xdr:rowOff>0</xdr:rowOff>
                  </from>
                  <to>
                    <xdr:col>2</xdr:col>
                    <xdr:colOff>1104900</xdr:colOff>
                    <xdr:row>19</xdr:row>
                    <xdr:rowOff>0</xdr:rowOff>
                  </to>
                </anchor>
              </controlPr>
            </control>
          </mc:Choice>
        </mc:AlternateContent>
        <mc:AlternateContent xmlns:mc="http://schemas.openxmlformats.org/markup-compatibility/2006">
          <mc:Choice Requires="x14">
            <control shapeId="7209" r:id="rId9" name="Check Box 41">
              <controlPr defaultSize="0" autoFill="0" autoLine="0" autoPict="0">
                <anchor moveWithCells="1">
                  <from>
                    <xdr:col>2</xdr:col>
                    <xdr:colOff>0</xdr:colOff>
                    <xdr:row>20</xdr:row>
                    <xdr:rowOff>7620</xdr:rowOff>
                  </from>
                  <to>
                    <xdr:col>2</xdr:col>
                    <xdr:colOff>1569720</xdr:colOff>
                    <xdr:row>21</xdr:row>
                    <xdr:rowOff>7620</xdr:rowOff>
                  </to>
                </anchor>
              </controlPr>
            </control>
          </mc:Choice>
        </mc:AlternateContent>
        <mc:AlternateContent xmlns:mc="http://schemas.openxmlformats.org/markup-compatibility/2006">
          <mc:Choice Requires="x14">
            <control shapeId="7210" r:id="rId10" name="Check Box 42">
              <controlPr defaultSize="0" autoFill="0" autoLine="0" autoPict="0">
                <anchor moveWithCells="1">
                  <from>
                    <xdr:col>2</xdr:col>
                    <xdr:colOff>0</xdr:colOff>
                    <xdr:row>23</xdr:row>
                    <xdr:rowOff>7620</xdr:rowOff>
                  </from>
                  <to>
                    <xdr:col>2</xdr:col>
                    <xdr:colOff>1074420</xdr:colOff>
                    <xdr:row>24</xdr:row>
                    <xdr:rowOff>7620</xdr:rowOff>
                  </to>
                </anchor>
              </controlPr>
            </control>
          </mc:Choice>
        </mc:AlternateContent>
        <mc:AlternateContent xmlns:mc="http://schemas.openxmlformats.org/markup-compatibility/2006">
          <mc:Choice Requires="x14">
            <control shapeId="7211" r:id="rId11" name="Check Box 43">
              <controlPr defaultSize="0" autoFill="0" autoLine="0" autoPict="0">
                <anchor moveWithCells="1">
                  <from>
                    <xdr:col>5</xdr:col>
                    <xdr:colOff>0</xdr:colOff>
                    <xdr:row>21</xdr:row>
                    <xdr:rowOff>7620</xdr:rowOff>
                  </from>
                  <to>
                    <xdr:col>5</xdr:col>
                    <xdr:colOff>868680</xdr:colOff>
                    <xdr:row>22</xdr:row>
                    <xdr:rowOff>7620</xdr:rowOff>
                  </to>
                </anchor>
              </controlPr>
            </control>
          </mc:Choice>
        </mc:AlternateContent>
        <mc:AlternateContent xmlns:mc="http://schemas.openxmlformats.org/markup-compatibility/2006">
          <mc:Choice Requires="x14">
            <control shapeId="7212" r:id="rId12" name="Check Box 44">
              <controlPr defaultSize="0" autoFill="0" autoLine="0" autoPict="0">
                <anchor moveWithCells="1">
                  <from>
                    <xdr:col>5</xdr:col>
                    <xdr:colOff>7620</xdr:colOff>
                    <xdr:row>17</xdr:row>
                    <xdr:rowOff>0</xdr:rowOff>
                  </from>
                  <to>
                    <xdr:col>5</xdr:col>
                    <xdr:colOff>876300</xdr:colOff>
                    <xdr:row>18</xdr:row>
                    <xdr:rowOff>0</xdr:rowOff>
                  </to>
                </anchor>
              </controlPr>
            </control>
          </mc:Choice>
        </mc:AlternateContent>
        <mc:AlternateContent xmlns:mc="http://schemas.openxmlformats.org/markup-compatibility/2006">
          <mc:Choice Requires="x14">
            <control shapeId="7213" r:id="rId13" name="Check Box 45">
              <controlPr defaultSize="0" autoFill="0" autoLine="0" autoPict="0">
                <anchor moveWithCells="1">
                  <from>
                    <xdr:col>5</xdr:col>
                    <xdr:colOff>7620</xdr:colOff>
                    <xdr:row>22</xdr:row>
                    <xdr:rowOff>7620</xdr:rowOff>
                  </from>
                  <to>
                    <xdr:col>5</xdr:col>
                    <xdr:colOff>1264920</xdr:colOff>
                    <xdr:row>23</xdr:row>
                    <xdr:rowOff>7620</xdr:rowOff>
                  </to>
                </anchor>
              </controlPr>
            </control>
          </mc:Choice>
        </mc:AlternateContent>
        <mc:AlternateContent xmlns:mc="http://schemas.openxmlformats.org/markup-compatibility/2006">
          <mc:Choice Requires="x14">
            <control shapeId="7214" r:id="rId14" name="Check Box 46">
              <controlPr defaultSize="0" autoFill="0" autoLine="0" autoPict="0">
                <anchor moveWithCells="1">
                  <from>
                    <xdr:col>5</xdr:col>
                    <xdr:colOff>7620</xdr:colOff>
                    <xdr:row>19</xdr:row>
                    <xdr:rowOff>7620</xdr:rowOff>
                  </from>
                  <to>
                    <xdr:col>5</xdr:col>
                    <xdr:colOff>876300</xdr:colOff>
                    <xdr:row>20</xdr:row>
                    <xdr:rowOff>7620</xdr:rowOff>
                  </to>
                </anchor>
              </controlPr>
            </control>
          </mc:Choice>
        </mc:AlternateContent>
        <mc:AlternateContent xmlns:mc="http://schemas.openxmlformats.org/markup-compatibility/2006">
          <mc:Choice Requires="x14">
            <control shapeId="7215" r:id="rId15" name="Check Box 47">
              <controlPr defaultSize="0" autoFill="0" autoLine="0" autoPict="0">
                <anchor moveWithCells="1">
                  <from>
                    <xdr:col>5</xdr:col>
                    <xdr:colOff>7620</xdr:colOff>
                    <xdr:row>18</xdr:row>
                    <xdr:rowOff>0</xdr:rowOff>
                  </from>
                  <to>
                    <xdr:col>5</xdr:col>
                    <xdr:colOff>1112520</xdr:colOff>
                    <xdr:row>19</xdr:row>
                    <xdr:rowOff>0</xdr:rowOff>
                  </to>
                </anchor>
              </controlPr>
            </control>
          </mc:Choice>
        </mc:AlternateContent>
        <mc:AlternateContent xmlns:mc="http://schemas.openxmlformats.org/markup-compatibility/2006">
          <mc:Choice Requires="x14">
            <control shapeId="7216" r:id="rId16" name="Check Box 48">
              <controlPr defaultSize="0" autoFill="0" autoLine="0" autoPict="0">
                <anchor moveWithCells="1">
                  <from>
                    <xdr:col>5</xdr:col>
                    <xdr:colOff>7620</xdr:colOff>
                    <xdr:row>20</xdr:row>
                    <xdr:rowOff>7620</xdr:rowOff>
                  </from>
                  <to>
                    <xdr:col>5</xdr:col>
                    <xdr:colOff>1577340</xdr:colOff>
                    <xdr:row>21</xdr:row>
                    <xdr:rowOff>7620</xdr:rowOff>
                  </to>
                </anchor>
              </controlPr>
            </control>
          </mc:Choice>
        </mc:AlternateContent>
        <mc:AlternateContent xmlns:mc="http://schemas.openxmlformats.org/markup-compatibility/2006">
          <mc:Choice Requires="x14">
            <control shapeId="7217" r:id="rId17" name="Check Box 49">
              <controlPr defaultSize="0" autoFill="0" autoLine="0" autoPict="0">
                <anchor moveWithCells="1">
                  <from>
                    <xdr:col>5</xdr:col>
                    <xdr:colOff>7620</xdr:colOff>
                    <xdr:row>23</xdr:row>
                    <xdr:rowOff>7620</xdr:rowOff>
                  </from>
                  <to>
                    <xdr:col>5</xdr:col>
                    <xdr:colOff>1082040</xdr:colOff>
                    <xdr:row>24</xdr:row>
                    <xdr:rowOff>7620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C86F64-CE04-4C89-A767-092EB7D100DF}">
  <sheetPr codeName="Blad19">
    <tabColor theme="7" tint="0.59999389629810485"/>
  </sheetPr>
  <dimension ref="A4:K31"/>
  <sheetViews>
    <sheetView showGridLines="0" zoomScale="80" zoomScaleNormal="80" workbookViewId="0">
      <selection activeCell="E29" sqref="E29"/>
    </sheetView>
  </sheetViews>
  <sheetFormatPr defaultColWidth="8.77734375" defaultRowHeight="14.4" x14ac:dyDescent="0.3"/>
  <cols>
    <col min="1" max="1" width="2.77734375" style="114" customWidth="1"/>
    <col min="2" max="2" width="29.21875" style="114" bestFit="1" customWidth="1"/>
    <col min="3" max="3" width="14.44140625" style="114" customWidth="1"/>
    <col min="4" max="4" width="0.88671875" style="114" customWidth="1"/>
    <col min="5" max="5" width="14.44140625" style="114" customWidth="1"/>
    <col min="6" max="6" width="14.33203125" style="114" customWidth="1"/>
    <col min="7" max="16384" width="8.77734375" style="114"/>
  </cols>
  <sheetData>
    <row r="4" spans="1:11" ht="14.55" customHeight="1" x14ac:dyDescent="0.3">
      <c r="B4" s="341" t="s">
        <v>164</v>
      </c>
      <c r="C4" s="341"/>
      <c r="D4" s="341"/>
      <c r="E4" s="341"/>
      <c r="F4" s="341"/>
      <c r="G4" s="341"/>
      <c r="H4" s="341"/>
      <c r="I4" s="341"/>
      <c r="J4" s="341"/>
    </row>
    <row r="5" spans="1:11" ht="14.55" customHeight="1" x14ac:dyDescent="0.3">
      <c r="B5" s="341"/>
      <c r="C5" s="341"/>
      <c r="D5" s="341"/>
      <c r="E5" s="341"/>
      <c r="F5" s="341"/>
      <c r="G5" s="341"/>
      <c r="H5" s="341"/>
      <c r="I5" s="341"/>
      <c r="J5" s="341"/>
    </row>
    <row r="7" spans="1:11" x14ac:dyDescent="0.3">
      <c r="B7" s="277">
        <v>1</v>
      </c>
      <c r="E7" s="431" t="str">
        <f>IF(C26=0,"U hebt aangeven dat u hetzelfde aantal vee behoud, dus dit tabblad is niet van toepassing",CONCATENATE("U hebt aangegeven ",ABS(C26),IF(ABS(C26)=1," koe "," koeien "),IF(C26&lt;0,"minder","meer")," te gaan houden, in dit tabblad wordt de correctie voor de toegerekende kosten bepaald"))</f>
        <v>U hebt aangeven dat u hetzelfde aantal vee behoud, dus dit tabblad is niet van toepassing</v>
      </c>
      <c r="F7" s="432"/>
      <c r="G7" s="432"/>
      <c r="H7" s="432"/>
      <c r="I7" s="432"/>
      <c r="J7" s="432"/>
      <c r="K7" s="433"/>
    </row>
    <row r="8" spans="1:11" x14ac:dyDescent="0.3">
      <c r="B8" s="277"/>
      <c r="E8" s="434"/>
      <c r="F8" s="435"/>
      <c r="G8" s="435"/>
      <c r="H8" s="435"/>
      <c r="I8" s="435"/>
      <c r="J8" s="435"/>
      <c r="K8" s="436"/>
    </row>
    <row r="10" spans="1:11" x14ac:dyDescent="0.3">
      <c r="B10" s="212"/>
      <c r="C10" s="212" t="s">
        <v>136</v>
      </c>
      <c r="D10" s="439" t="s">
        <v>102</v>
      </c>
      <c r="E10" s="440"/>
    </row>
    <row r="11" spans="1:11" x14ac:dyDescent="0.3">
      <c r="B11" s="135" t="s">
        <v>179</v>
      </c>
      <c r="C11" s="154">
        <f>Gegevens!C104</f>
        <v>27</v>
      </c>
      <c r="D11" s="437"/>
      <c r="E11" s="438"/>
    </row>
    <row r="12" spans="1:11" x14ac:dyDescent="0.3">
      <c r="B12" s="135" t="s">
        <v>180</v>
      </c>
      <c r="C12" s="155">
        <f>Gegevens!C105</f>
        <v>0.3</v>
      </c>
      <c r="D12" s="441"/>
      <c r="E12" s="442"/>
    </row>
    <row r="13" spans="1:11" x14ac:dyDescent="0.3">
      <c r="B13" s="135" t="s">
        <v>84</v>
      </c>
      <c r="C13" s="138">
        <f>Melkproductie!F10</f>
        <v>0</v>
      </c>
      <c r="D13" s="421">
        <f>Melkproductie!F10</f>
        <v>0</v>
      </c>
      <c r="E13" s="422"/>
    </row>
    <row r="14" spans="1:11" x14ac:dyDescent="0.3">
      <c r="B14" s="19" t="s">
        <v>166</v>
      </c>
      <c r="C14" s="144">
        <f>IF(C13=0,Gegevens!C106,C11*C12*C13/100)</f>
        <v>810</v>
      </c>
      <c r="D14" s="423">
        <f>IF(D11=0,IF(D12=0,D13/100*C11*C12,D13/100*C11*D12),IF(D12=0,D13/100*D11*C12,D13/100*D11*D12))</f>
        <v>0</v>
      </c>
      <c r="E14" s="424"/>
    </row>
    <row r="15" spans="1:11" s="153" customFormat="1" ht="10.050000000000001" customHeight="1" x14ac:dyDescent="0.3">
      <c r="A15" s="114"/>
      <c r="B15" s="136"/>
      <c r="C15" s="152"/>
      <c r="D15" s="152"/>
      <c r="E15" s="152"/>
    </row>
    <row r="16" spans="1:11" x14ac:dyDescent="0.3">
      <c r="B16" s="135" t="s">
        <v>207</v>
      </c>
      <c r="C16" s="156">
        <f>Gegevens!C108</f>
        <v>26</v>
      </c>
      <c r="D16" s="425"/>
      <c r="E16" s="426"/>
    </row>
    <row r="17" spans="1:5" x14ac:dyDescent="0.3">
      <c r="A17" s="153"/>
      <c r="B17" s="135" t="s">
        <v>206</v>
      </c>
      <c r="C17" s="157">
        <f>Gegevens!C109</f>
        <v>10</v>
      </c>
      <c r="D17" s="427"/>
      <c r="E17" s="428"/>
    </row>
    <row r="18" spans="1:5" x14ac:dyDescent="0.3">
      <c r="B18" s="19" t="s">
        <v>168</v>
      </c>
      <c r="C18" s="21">
        <f>Gegevens!C110</f>
        <v>260</v>
      </c>
      <c r="D18" s="429">
        <f>IF(D16=0,C16,D16)*IF(D17=0,C17,D17)</f>
        <v>260</v>
      </c>
      <c r="E18" s="430"/>
    </row>
    <row r="19" spans="1:5" s="153" customFormat="1" ht="10.050000000000001" customHeight="1" x14ac:dyDescent="0.3">
      <c r="A19" s="114"/>
      <c r="B19" s="136"/>
      <c r="C19" s="152"/>
      <c r="D19" s="152"/>
    </row>
    <row r="20" spans="1:5" x14ac:dyDescent="0.3">
      <c r="B20" s="19" t="s">
        <v>177</v>
      </c>
      <c r="C20" s="21">
        <f>Gegevens!C112</f>
        <v>141</v>
      </c>
      <c r="D20" s="417"/>
      <c r="E20" s="418"/>
    </row>
    <row r="21" spans="1:5" s="153" customFormat="1" ht="10.050000000000001" customHeight="1" x14ac:dyDescent="0.3">
      <c r="B21" s="136"/>
      <c r="C21" s="152"/>
      <c r="D21" s="152"/>
      <c r="E21" s="152"/>
    </row>
    <row r="22" spans="1:5" x14ac:dyDescent="0.3">
      <c r="B22" s="19" t="s">
        <v>178</v>
      </c>
      <c r="C22" s="21">
        <f>Gegevens!C114</f>
        <v>229</v>
      </c>
      <c r="D22" s="417"/>
      <c r="E22" s="418"/>
    </row>
    <row r="23" spans="1:5" ht="10.95" customHeight="1" x14ac:dyDescent="0.3">
      <c r="A23" s="153"/>
      <c r="B23" s="187"/>
      <c r="C23" s="35"/>
      <c r="D23" s="35"/>
      <c r="E23" s="188"/>
    </row>
    <row r="24" spans="1:5" x14ac:dyDescent="0.3">
      <c r="B24" s="19" t="s">
        <v>8</v>
      </c>
      <c r="C24" s="21">
        <f>C14+C18+C20+C22</f>
        <v>1440</v>
      </c>
      <c r="D24" s="419">
        <f>IF(D14=0,C14,D14)+D18+IF(D20=0,C20,D20)+IF(D22=0,C22,D22)</f>
        <v>1440</v>
      </c>
      <c r="E24" s="420"/>
    </row>
    <row r="25" spans="1:5" x14ac:dyDescent="0.3">
      <c r="A25" s="153"/>
      <c r="B25" s="136"/>
      <c r="C25" s="137"/>
      <c r="D25" s="137"/>
      <c r="E25" s="137"/>
    </row>
    <row r="26" spans="1:5" x14ac:dyDescent="0.3">
      <c r="B26" s="135" t="s">
        <v>139</v>
      </c>
      <c r="C26" s="145">
        <f>Melkproductie!F11-Melkproductie!C11</f>
        <v>0</v>
      </c>
      <c r="D26" s="229"/>
      <c r="E26" s="137"/>
    </row>
    <row r="27" spans="1:5" x14ac:dyDescent="0.3">
      <c r="B27" s="135" t="str">
        <f>IF(C27&lt;0,"Toename toegerekende kosten",IF(C27=0,"Verschil toegerekende kosten","Afname toegerekende kosten"))</f>
        <v>Verschil toegerekende kosten</v>
      </c>
      <c r="C27" s="230">
        <f>IF(B7=1,C24,D24)*-C26</f>
        <v>0</v>
      </c>
      <c r="D27" s="137"/>
      <c r="E27" s="137"/>
    </row>
    <row r="29" spans="1:5" x14ac:dyDescent="0.3">
      <c r="B29" s="19" t="str">
        <f>IF(Fosfaatrechten!F8&gt;0,"Meer fosfaatrechten","Minder fosfaatrechten")</f>
        <v>Minder fosfaatrechten</v>
      </c>
      <c r="C29" s="48">
        <f>Fosfaatrechten!C18+Fosfaatrechten!F18+Fosfaatrechten!F31</f>
        <v>0</v>
      </c>
      <c r="E29" s="309" t="s">
        <v>183</v>
      </c>
    </row>
    <row r="30" spans="1:5" ht="15" thickBot="1" x14ac:dyDescent="0.35"/>
    <row r="31" spans="1:5" ht="15" thickBot="1" x14ac:dyDescent="0.35">
      <c r="B31" s="251" t="s">
        <v>199</v>
      </c>
      <c r="C31" s="260">
        <f>C27+C29</f>
        <v>0</v>
      </c>
    </row>
  </sheetData>
  <sheetProtection sheet="1" objects="1" scenarios="1" selectLockedCells="1"/>
  <mergeCells count="13">
    <mergeCell ref="B4:J5"/>
    <mergeCell ref="D20:E20"/>
    <mergeCell ref="D22:E22"/>
    <mergeCell ref="D24:E24"/>
    <mergeCell ref="D13:E13"/>
    <mergeCell ref="D14:E14"/>
    <mergeCell ref="D16:E16"/>
    <mergeCell ref="D17:E17"/>
    <mergeCell ref="D18:E18"/>
    <mergeCell ref="E7:K8"/>
    <mergeCell ref="D11:E11"/>
    <mergeCell ref="D10:E10"/>
    <mergeCell ref="D12:E12"/>
  </mergeCells>
  <conditionalFormatting sqref="B10:E32">
    <cfRule type="expression" dxfId="134" priority="1">
      <formula>$C$26=0</formula>
    </cfRule>
  </conditionalFormatting>
  <conditionalFormatting sqref="D11:D14 D16:D18 D20 D22 D24">
    <cfRule type="expression" dxfId="133" priority="68">
      <formula>$B$7=1</formula>
    </cfRule>
  </conditionalFormatting>
  <dataValidations count="1">
    <dataValidation type="decimal" operator="greaterThanOrEqual" allowBlank="1" showInputMessage="1" showErrorMessage="1" errorTitle="Fout" error="Typ een getal groter of gelijk aan 0." sqref="D11:E11 D12:E12 D16:E16 D17:E17 D20:E20 D22:E22" xr:uid="{92D4ED5E-DDE9-4FF5-B9D8-31A97A21EF86}">
      <formula1>0</formula1>
    </dataValidation>
  </dataValidations>
  <hyperlinks>
    <hyperlink ref="D13" location="Melkproductie!A1" display="Melkproductie!A1" xr:uid="{328E3A0A-7CBE-40AE-BFA1-73E1E6D0C22B}"/>
    <hyperlink ref="E29" location="Fosfaatrechten!A1" display="Kosten bepalen" xr:uid="{BDD50219-F92E-42B0-979C-24D7DA7B826A}"/>
  </hyperlink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Option Button 1">
              <controlPr defaultSize="0" autoFill="0" autoLine="0" autoPict="0">
                <anchor moveWithCells="1">
                  <from>
                    <xdr:col>1</xdr:col>
                    <xdr:colOff>0</xdr:colOff>
                    <xdr:row>5</xdr:row>
                    <xdr:rowOff>182880</xdr:rowOff>
                  </from>
                  <to>
                    <xdr:col>2</xdr:col>
                    <xdr:colOff>7620</xdr:colOff>
                    <xdr:row>7</xdr:row>
                    <xdr:rowOff>0</xdr:rowOff>
                  </to>
                </anchor>
              </controlPr>
            </control>
          </mc:Choice>
        </mc:AlternateContent>
        <mc:AlternateContent xmlns:mc="http://schemas.openxmlformats.org/markup-compatibility/2006">
          <mc:Choice Requires="x14">
            <control shapeId="14338" r:id="rId5" name="Option Button 2">
              <controlPr defaultSize="0" autoFill="0" autoLine="0" autoPict="0">
                <anchor moveWithCells="1">
                  <from>
                    <xdr:col>1</xdr:col>
                    <xdr:colOff>0</xdr:colOff>
                    <xdr:row>7</xdr:row>
                    <xdr:rowOff>0</xdr:rowOff>
                  </from>
                  <to>
                    <xdr:col>2</xdr:col>
                    <xdr:colOff>0</xdr:colOff>
                    <xdr:row>8</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2B32E-4D7D-425F-A391-AE10CF9D0CA7}">
  <sheetPr codeName="Blad3">
    <tabColor theme="2" tint="-9.9978637043366805E-2"/>
    <pageSetUpPr fitToPage="1"/>
  </sheetPr>
  <dimension ref="A3:J23"/>
  <sheetViews>
    <sheetView showGridLines="0" zoomScale="80" zoomScaleNormal="80" workbookViewId="0">
      <selection activeCell="J20" sqref="J20"/>
    </sheetView>
  </sheetViews>
  <sheetFormatPr defaultColWidth="8.77734375" defaultRowHeight="14.4" x14ac:dyDescent="0.3"/>
  <cols>
    <col min="1" max="1" width="3.5546875" style="151" customWidth="1"/>
    <col min="2" max="2" width="30.77734375" style="151" customWidth="1"/>
    <col min="3" max="3" width="13.33203125" style="151" customWidth="1"/>
    <col min="4" max="4" width="2.77734375" style="112" customWidth="1"/>
    <col min="5" max="5" width="55.77734375" style="151" customWidth="1"/>
    <col min="6" max="6" width="1.44140625" style="4" customWidth="1"/>
    <col min="7" max="7" width="3.6640625" style="160" customWidth="1"/>
    <col min="8" max="16384" width="8.77734375" style="4"/>
  </cols>
  <sheetData>
    <row r="3" spans="1:10" x14ac:dyDescent="0.3">
      <c r="A3" s="163"/>
    </row>
    <row r="4" spans="1:10" x14ac:dyDescent="0.3">
      <c r="A4" s="163"/>
      <c r="B4" s="443" t="s">
        <v>205</v>
      </c>
      <c r="C4" s="443"/>
      <c r="D4" s="443"/>
      <c r="E4" s="443"/>
      <c r="F4" s="443"/>
    </row>
    <row r="5" spans="1:10" x14ac:dyDescent="0.3">
      <c r="A5" s="163"/>
      <c r="B5" s="443"/>
      <c r="C5" s="443"/>
      <c r="D5" s="443"/>
      <c r="E5" s="443"/>
      <c r="F5" s="443"/>
    </row>
    <row r="6" spans="1:10" x14ac:dyDescent="0.3">
      <c r="A6" s="163"/>
    </row>
    <row r="7" spans="1:10" ht="28.8" x14ac:dyDescent="0.3">
      <c r="B7" s="165"/>
      <c r="C7" s="164" t="s">
        <v>0</v>
      </c>
      <c r="D7" s="164"/>
      <c r="E7" s="176" t="s">
        <v>137</v>
      </c>
    </row>
    <row r="8" spans="1:10" ht="23.1" customHeight="1" x14ac:dyDescent="0.3">
      <c r="B8" s="171" t="s">
        <v>1</v>
      </c>
      <c r="C8" s="177">
        <f>IF('Extra land'!F23&lt;0,MROUND('Extra land'!F23,-100),MROUND('Extra land'!F23,100))</f>
        <v>0</v>
      </c>
      <c r="D8" s="166"/>
      <c r="E8" s="178" t="str">
        <f>IF('Extra land'!C18=0,"",CONCATENATE('Extra land'!C18," HA meer"))</f>
        <v/>
      </c>
      <c r="F8" s="278"/>
      <c r="G8" s="162"/>
      <c r="J8" s="161"/>
    </row>
    <row r="9" spans="1:10" s="161" customFormat="1" ht="13.5" customHeight="1" x14ac:dyDescent="0.3">
      <c r="A9" s="112"/>
      <c r="B9" s="167"/>
      <c r="C9" s="168"/>
      <c r="D9" s="168"/>
      <c r="E9" s="168"/>
      <c r="G9" s="162"/>
    </row>
    <row r="10" spans="1:10" ht="11.55" customHeight="1" x14ac:dyDescent="0.3">
      <c r="B10" s="451" t="s">
        <v>2</v>
      </c>
      <c r="C10" s="450">
        <f>IF(-Bouwplan!Q44&lt;0,MROUND(-Bouwplan!Q44,-100),MROUND(-Bouwplan!Q44,100))</f>
        <v>0</v>
      </c>
      <c r="D10" s="169"/>
      <c r="E10" s="179" t="str">
        <f>IF(Bouwplan!C44=0,"",CONCATENATE("Van ",Bouwplan!R5,"% grasland, ",Bouwplan!R6,"% bouwland, ",Bouwplan!R8,"% teelt eigen krachtvoer"))</f>
        <v/>
      </c>
      <c r="F10" s="278"/>
      <c r="G10" s="448">
        <f>IF(Bouwplan!J46="",0,1)</f>
        <v>0</v>
      </c>
    </row>
    <row r="11" spans="1:10" ht="11.55" customHeight="1" x14ac:dyDescent="0.3">
      <c r="B11" s="451"/>
      <c r="C11" s="450"/>
      <c r="D11" s="169"/>
      <c r="E11" s="180" t="str">
        <f>IF(Bouwplan!J44=0,"",CONCATENATE("Naar ",Bouwplan!T5,"% grasland, ",Bouwplan!T6,"% bouwland, ",Bouwplan!T8,"% teelt eigen krachtvoer"))</f>
        <v/>
      </c>
      <c r="F11" s="278"/>
      <c r="G11" s="448"/>
    </row>
    <row r="12" spans="1:10" s="161" customFormat="1" ht="13.5" customHeight="1" x14ac:dyDescent="0.3">
      <c r="A12" s="112"/>
      <c r="B12" s="170"/>
      <c r="C12" s="168"/>
      <c r="D12" s="168"/>
      <c r="E12" s="168"/>
      <c r="G12" s="162"/>
    </row>
    <row r="13" spans="1:10" ht="11.55" customHeight="1" x14ac:dyDescent="0.3">
      <c r="B13" s="449" t="s">
        <v>3</v>
      </c>
      <c r="C13" s="450">
        <f>IF(Voer!H64&lt;0,MROUND(Voer!H64,-100),MROUND(Voer!H64,100))</f>
        <v>0</v>
      </c>
      <c r="D13" s="169"/>
      <c r="E13" s="182" t="str">
        <f>CONCATENATE(IF(Voer!H38&lt;0,CONCATENATE(TEXT(Voer!D38,"0.000")," KG DS ruwvoer aankopen "),""),IF(Voer!H46&gt;0,CONCATENATE(TEXT(Voer!D46,"0.000")," KG DS ruwvoer verkopen/besparen "),""))</f>
        <v/>
      </c>
      <c r="F13" s="278"/>
      <c r="G13" s="448">
        <f>IF(Voer!F71="vul het aantal dieren in!",1,IF(Voer!B29="Verschil in KG DS is opgelost",0,1))</f>
        <v>1</v>
      </c>
    </row>
    <row r="14" spans="1:10" ht="11.55" customHeight="1" x14ac:dyDescent="0.3">
      <c r="B14" s="449"/>
      <c r="C14" s="450"/>
      <c r="D14" s="169"/>
      <c r="E14" s="181" t="str">
        <f>CONCATENATE(IF(Voer!H54&lt;0,CONCATENATE(TEXT(Voer!D54,"0.000")," KG DS krachtvoer aankopen "),""),IF(Voer!H62&gt;0,CONCATENATE(TEXT(Voer!D62,"0.000")," KG DS krachtvoer besparen "),""))</f>
        <v/>
      </c>
      <c r="F14" s="278"/>
      <c r="G14" s="448"/>
    </row>
    <row r="15" spans="1:10" s="161" customFormat="1" ht="13.5" customHeight="1" x14ac:dyDescent="0.3">
      <c r="A15" s="112"/>
      <c r="B15" s="172"/>
      <c r="C15" s="168"/>
      <c r="D15" s="168"/>
      <c r="E15" s="183"/>
      <c r="G15" s="162"/>
    </row>
    <row r="16" spans="1:10" ht="11.55" customHeight="1" x14ac:dyDescent="0.3">
      <c r="B16" s="449" t="s">
        <v>4</v>
      </c>
      <c r="C16" s="450">
        <f>IF(Melkproductie!I30&lt;0,MROUND(Melkproductie!I30,-100),MROUND(Melkproductie!I30,100))</f>
        <v>0</v>
      </c>
      <c r="D16" s="169"/>
      <c r="E16" s="184" t="str">
        <f>CONCATENATE(IF(Melkproductie!I28=0,"",IF(Melkproductie!I28&lt;0,CONCATENATE(TEXT(ABS(Melkproductie!I28),"0.000")," KG melk minder"),CONCATENATE(TEXT(Melkproductie!I28,"0.000")," KG melk meer"))))</f>
        <v/>
      </c>
      <c r="F16" s="278"/>
      <c r="G16" s="448">
        <f>IF(ISNUMBER(Melkproductie!C29)=TRUE,IF(ISNUMBER(Melkproductie!F29)=TRUE,0,1),1)</f>
        <v>0</v>
      </c>
    </row>
    <row r="17" spans="1:10" ht="11.55" customHeight="1" x14ac:dyDescent="0.3">
      <c r="B17" s="449"/>
      <c r="C17" s="450"/>
      <c r="D17" s="169"/>
      <c r="E17" s="185" t="str">
        <f>IF(Melkproductie!F29=Melkproductie!C29,"",IF(Melkproductie!I29&lt;0,CONCATENATE(ABS(Melkproductie!I29)*100," cent lagere melkprijs"),CONCATENATE(Melkproductie!I29*100," cent hogere melkprijs")))</f>
        <v/>
      </c>
      <c r="F17" s="278"/>
      <c r="G17" s="448"/>
    </row>
    <row r="18" spans="1:10" s="161" customFormat="1" ht="13.5" customHeight="1" x14ac:dyDescent="0.3">
      <c r="A18" s="112"/>
      <c r="B18" s="167"/>
      <c r="C18" s="168"/>
      <c r="D18" s="168"/>
      <c r="E18" s="173"/>
      <c r="G18" s="162"/>
      <c r="J18" s="4"/>
    </row>
    <row r="19" spans="1:10" ht="23.1" customHeight="1" x14ac:dyDescent="0.3">
      <c r="B19" s="171" t="s">
        <v>5</v>
      </c>
      <c r="C19" s="177">
        <f>IF('Toegerekende kosten koe'!C27&lt;0,MROUND('Toegerekende kosten koe'!C27,-100),MROUND('Toegerekende kosten koe'!C27,100))</f>
        <v>0</v>
      </c>
      <c r="D19" s="166"/>
      <c r="E19" s="186" t="str">
        <f>IF(Melkproductie!F11=Melkproductie!C11,"",IF((Melkproductie!F11-Melkproductie!C11)&lt;0,CONCATENATE((ABS(Melkproductie!F11-Melkproductie!C11))," koeien minder"),CONCATENATE((Melkproductie!F11-Melkproductie!C11)," koeien meer")))</f>
        <v/>
      </c>
      <c r="F19" s="278"/>
      <c r="G19" s="279"/>
      <c r="J19" s="161"/>
    </row>
    <row r="20" spans="1:10" s="161" customFormat="1" ht="16.95" customHeight="1" thickBot="1" x14ac:dyDescent="0.35">
      <c r="A20" s="112"/>
      <c r="B20" s="174"/>
      <c r="C20" s="175"/>
      <c r="D20" s="175"/>
      <c r="E20" s="175"/>
      <c r="G20" s="162"/>
    </row>
    <row r="21" spans="1:10" s="161" customFormat="1" ht="11.55" customHeight="1" x14ac:dyDescent="0.3">
      <c r="A21" s="112"/>
      <c r="B21" s="444" t="s">
        <v>8</v>
      </c>
      <c r="C21" s="446">
        <f>SUM(C8:C19)</f>
        <v>0</v>
      </c>
      <c r="D21" s="265"/>
      <c r="E21" s="267" t="str">
        <f>IF('Extra land'!C14+'Extra land'!C15+'Extra land'!C16+'Extra land'!C17&gt;0,CONCATENATE(TEXT(SUMPRODUCT('Extra land'!C14:C17,'Extra land'!D14:D17),"€ 0.000")," extra vermogen nodig voor de aankoop van grond"),"")</f>
        <v/>
      </c>
      <c r="G21" s="162"/>
    </row>
    <row r="22" spans="1:10" ht="11.55" customHeight="1" thickBot="1" x14ac:dyDescent="0.35">
      <c r="B22" s="445"/>
      <c r="C22" s="447"/>
      <c r="D22" s="266"/>
      <c r="E22" s="268" t="str">
        <f>IF(Fosfaatrechten!C28&gt;0,CONCATENATE(TEXT(ABS(Fosfaatrechten!C28),"€ 0.000")," extra vermogen beschikbaar door verkoop van fosfaatrechten"),IF(Fosfaatrechten!F26&lt;0,CONCATENATE(TEXT(-Fosfaatrechten!F26,"€ 0.000")," extra vermogen nodig voor de aankoop van fosfaatrechten"),""))</f>
        <v/>
      </c>
      <c r="F22" s="161"/>
    </row>
    <row r="23" spans="1:10" x14ac:dyDescent="0.3">
      <c r="E23" s="112"/>
      <c r="I23" s="51"/>
    </row>
  </sheetData>
  <sheetProtection sheet="1" objects="1" scenarios="1" selectLockedCells="1"/>
  <mergeCells count="12">
    <mergeCell ref="B4:F5"/>
    <mergeCell ref="B21:B22"/>
    <mergeCell ref="C21:C22"/>
    <mergeCell ref="G10:G11"/>
    <mergeCell ref="G13:G14"/>
    <mergeCell ref="G16:G17"/>
    <mergeCell ref="B16:B17"/>
    <mergeCell ref="C16:C17"/>
    <mergeCell ref="B10:B11"/>
    <mergeCell ref="C10:C11"/>
    <mergeCell ref="B13:B14"/>
    <mergeCell ref="C13:C14"/>
  </mergeCells>
  <conditionalFormatting sqref="B19">
    <cfRule type="expression" priority="6">
      <formula>IF($C$19&lt;0,"Extra toegerekende kosten","minder toegerekende kosten")</formula>
    </cfRule>
    <cfRule type="expression" priority="10">
      <formula>"als($D$11&lt;0;""verhoging toegerekende kosten""; ""Besparing toegerekende kosten"")"</formula>
    </cfRule>
  </conditionalFormatting>
  <pageMargins left="0.7" right="0.7" top="0.75" bottom="0.75" header="0.3" footer="0.3"/>
  <pageSetup paperSize="9" scale="95" orientation="landscape" r:id="rId1"/>
  <colBreaks count="1" manualBreakCount="1">
    <brk id="8" max="1048575" man="1"/>
  </colBreaks>
  <drawing r:id="rId2"/>
  <extLst>
    <ext xmlns:x14="http://schemas.microsoft.com/office/spreadsheetml/2009/9/main" uri="{78C0D931-6437-407d-A8EE-F0AAD7539E65}">
      <x14:conditionalFormattings>
        <x14:conditionalFormatting xmlns:xm="http://schemas.microsoft.com/office/excel/2006/main">
          <x14:cfRule type="iconSet" priority="4" id="{7B32F442-6E63-41E0-96A7-E869248E480B}">
            <x14:iconSet iconSet="3Symbols" showValue="0" custom="1">
              <x14:cfvo type="percent">
                <xm:f>0</xm:f>
              </x14:cfvo>
              <x14:cfvo type="num" gte="0">
                <xm:f>1</xm:f>
              </x14:cfvo>
              <x14:cfvo type="num">
                <xm:f>1</xm:f>
              </x14:cfvo>
              <x14:cfIcon iconSet="NoIcons" iconId="0"/>
              <x14:cfIcon iconSet="NoIcons" iconId="0"/>
              <x14:cfIcon iconSet="3Symbols" iconId="0"/>
            </x14:iconSet>
          </x14:cfRule>
          <xm:sqref>G8 G10 G13 G16 G19</xm:sqref>
        </x14:conditionalFormatting>
      </x14:conditionalFormatting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3E1E4-39D3-40D2-8E32-EB96B76B7256}">
  <sheetPr codeName="Blad34">
    <tabColor theme="7" tint="0.59999389629810485"/>
  </sheetPr>
  <dimension ref="B1:K31"/>
  <sheetViews>
    <sheetView showGridLines="0" zoomScale="80" zoomScaleNormal="80" workbookViewId="0">
      <selection activeCell="C13" sqref="C13"/>
    </sheetView>
  </sheetViews>
  <sheetFormatPr defaultRowHeight="14.4" x14ac:dyDescent="0.3"/>
  <cols>
    <col min="1" max="1" width="2.77734375" customWidth="1"/>
    <col min="2" max="2" width="26.109375" customWidth="1"/>
    <col min="3" max="3" width="10.88671875" customWidth="1"/>
    <col min="4" max="4" width="0.88671875" style="112" customWidth="1"/>
    <col min="5" max="5" width="26.109375" customWidth="1"/>
    <col min="6" max="6" width="10.88671875" customWidth="1"/>
    <col min="7" max="7" width="12.21875" customWidth="1"/>
    <col min="8" max="8" width="11.21875" customWidth="1"/>
  </cols>
  <sheetData>
    <row r="1" spans="2:11" ht="15" customHeight="1" x14ac:dyDescent="0.3"/>
    <row r="2" spans="2:11" ht="14.55" customHeight="1" x14ac:dyDescent="0.3">
      <c r="B2" s="452" t="s">
        <v>182</v>
      </c>
      <c r="C2" s="452"/>
      <c r="D2" s="452"/>
      <c r="E2" s="452"/>
      <c r="F2" s="452"/>
      <c r="H2" s="227"/>
      <c r="I2" s="227"/>
      <c r="J2" s="227"/>
      <c r="K2" s="227"/>
    </row>
    <row r="3" spans="2:11" ht="14.55" customHeight="1" x14ac:dyDescent="0.3">
      <c r="B3" s="452"/>
      <c r="C3" s="452"/>
      <c r="D3" s="452"/>
      <c r="E3" s="452"/>
      <c r="F3" s="452"/>
      <c r="G3" s="223"/>
      <c r="H3" s="227"/>
      <c r="I3" s="227"/>
      <c r="J3" s="227"/>
      <c r="K3" s="227"/>
    </row>
    <row r="4" spans="2:11" ht="14.55" customHeight="1" x14ac:dyDescent="0.3">
      <c r="B4" s="223"/>
      <c r="C4" s="223"/>
      <c r="D4" s="223"/>
      <c r="E4" s="223"/>
      <c r="F4" s="223"/>
      <c r="H4" s="223"/>
      <c r="I4" s="223"/>
      <c r="J4" s="223"/>
      <c r="K4" s="223"/>
    </row>
    <row r="5" spans="2:11" x14ac:dyDescent="0.3">
      <c r="B5" s="224"/>
      <c r="C5" s="389" t="s">
        <v>193</v>
      </c>
      <c r="D5" s="389"/>
      <c r="E5" s="246" t="s">
        <v>60</v>
      </c>
      <c r="F5" s="224" t="s">
        <v>8</v>
      </c>
    </row>
    <row r="6" spans="2:11" x14ac:dyDescent="0.3">
      <c r="B6" s="11" t="s">
        <v>192</v>
      </c>
      <c r="C6" s="390">
        <f>VLOOKUP(Melkproductie!C10,Gegevens!B117:C138,2,TRUE)</f>
        <v>32.4</v>
      </c>
      <c r="D6" s="390"/>
      <c r="E6" s="241">
        <f>Voer!D18</f>
        <v>0</v>
      </c>
      <c r="F6" s="24">
        <f>C6*E6</f>
        <v>0</v>
      </c>
    </row>
    <row r="7" spans="2:11" x14ac:dyDescent="0.3">
      <c r="B7" s="11" t="s">
        <v>191</v>
      </c>
      <c r="C7" s="390">
        <f>VLOOKUP(Melkproductie!F10,Gegevens!B117:C138,2,TRUE)</f>
        <v>32.4</v>
      </c>
      <c r="D7" s="390"/>
      <c r="E7" s="241">
        <f>Voer!E18</f>
        <v>0</v>
      </c>
      <c r="F7" s="24">
        <f>C7*E7</f>
        <v>0</v>
      </c>
    </row>
    <row r="8" spans="2:11" x14ac:dyDescent="0.3">
      <c r="B8" s="453"/>
      <c r="C8" s="453"/>
      <c r="D8" s="453"/>
      <c r="E8" s="453"/>
      <c r="F8" s="24">
        <f>F7-F6</f>
        <v>0</v>
      </c>
    </row>
    <row r="10" spans="2:11" x14ac:dyDescent="0.3">
      <c r="B10" s="277" t="b">
        <v>1</v>
      </c>
    </row>
    <row r="12" spans="2:11" x14ac:dyDescent="0.3">
      <c r="B12" s="224" t="s">
        <v>239</v>
      </c>
      <c r="C12" s="224"/>
      <c r="E12" s="224" t="s">
        <v>238</v>
      </c>
      <c r="F12" s="224"/>
    </row>
    <row r="13" spans="2:11" x14ac:dyDescent="0.3">
      <c r="B13" s="11" t="s">
        <v>194</v>
      </c>
      <c r="C13" s="284"/>
      <c r="E13" s="11" t="s">
        <v>194</v>
      </c>
      <c r="F13" s="284"/>
      <c r="J13" t="s">
        <v>55</v>
      </c>
    </row>
    <row r="14" spans="2:11" ht="4.95" customHeight="1" x14ac:dyDescent="0.3">
      <c r="B14" s="200"/>
      <c r="C14" s="200"/>
      <c r="E14" s="200"/>
      <c r="F14" s="200"/>
    </row>
    <row r="15" spans="2:11" x14ac:dyDescent="0.3">
      <c r="B15" s="11" t="s">
        <v>184</v>
      </c>
      <c r="C15" s="250">
        <f>Gegevens!C141</f>
        <v>20</v>
      </c>
      <c r="D15" s="248"/>
      <c r="E15" s="11" t="s">
        <v>184</v>
      </c>
      <c r="F15" s="250">
        <f>-Gegevens!C141</f>
        <v>-20</v>
      </c>
    </row>
    <row r="16" spans="2:11" x14ac:dyDescent="0.3">
      <c r="B16" s="11" t="s">
        <v>195</v>
      </c>
      <c r="C16" s="285"/>
      <c r="E16" s="11" t="s">
        <v>195</v>
      </c>
      <c r="F16" s="285"/>
    </row>
    <row r="17" spans="2:6" ht="4.95" customHeight="1" thickBot="1" x14ac:dyDescent="0.35">
      <c r="B17" s="112"/>
      <c r="C17" s="112"/>
      <c r="E17" s="112"/>
      <c r="F17" s="112"/>
    </row>
    <row r="18" spans="2:6" ht="15" thickBot="1" x14ac:dyDescent="0.35">
      <c r="B18" s="252" t="str">
        <f>IF(F8&gt;0,"Extra kosten",IF(F8&lt;0,"Extra opbrengsten","Opbrengsten/Kosten"))</f>
        <v>Opbrengsten/Kosten</v>
      </c>
      <c r="C18" s="253">
        <f>IF(C16=0,C15,C16)*C13</f>
        <v>0</v>
      </c>
      <c r="E18" s="252" t="s">
        <v>240</v>
      </c>
      <c r="F18" s="253">
        <f>IF(F16=0,F15,F16)*F13</f>
        <v>0</v>
      </c>
    </row>
    <row r="19" spans="2:6" ht="13.95" customHeight="1" x14ac:dyDescent="0.3"/>
    <row r="20" spans="2:6" x14ac:dyDescent="0.3">
      <c r="B20" s="224" t="s">
        <v>235</v>
      </c>
      <c r="C20" s="224"/>
      <c r="E20" s="224" t="s">
        <v>234</v>
      </c>
      <c r="F20" s="224"/>
    </row>
    <row r="21" spans="2:6" x14ac:dyDescent="0.3">
      <c r="B21" s="11" t="s">
        <v>194</v>
      </c>
      <c r="C21" s="24">
        <f>IF(F8&gt;0,0,-F8-C13)</f>
        <v>0</v>
      </c>
      <c r="D21" s="247"/>
      <c r="E21" s="11" t="s">
        <v>194</v>
      </c>
      <c r="F21" s="24">
        <f>IF(F8&lt;0,0,F8-F13)</f>
        <v>0</v>
      </c>
    </row>
    <row r="22" spans="2:6" ht="4.95" customHeight="1" x14ac:dyDescent="0.3">
      <c r="B22" s="453"/>
      <c r="C22" s="453"/>
      <c r="D22" s="110"/>
      <c r="E22" s="453"/>
      <c r="F22" s="453"/>
    </row>
    <row r="23" spans="2:6" x14ac:dyDescent="0.3">
      <c r="B23" s="11" t="s">
        <v>184</v>
      </c>
      <c r="C23" s="225">
        <f>Gegevens!C140</f>
        <v>155</v>
      </c>
      <c r="D23" s="248"/>
      <c r="E23" s="11" t="s">
        <v>184</v>
      </c>
      <c r="F23" s="225">
        <f>-Gegevens!C140</f>
        <v>-155</v>
      </c>
    </row>
    <row r="24" spans="2:6" x14ac:dyDescent="0.3">
      <c r="B24" s="11" t="s">
        <v>195</v>
      </c>
      <c r="C24" s="280"/>
      <c r="E24" s="11" t="s">
        <v>195</v>
      </c>
      <c r="F24" s="280"/>
    </row>
    <row r="25" spans="2:6" ht="4.95" customHeight="1" x14ac:dyDescent="0.3">
      <c r="B25" s="453"/>
      <c r="C25" s="453"/>
      <c r="D25" s="110"/>
      <c r="E25" s="453"/>
      <c r="F25" s="453"/>
    </row>
    <row r="26" spans="2:6" x14ac:dyDescent="0.3">
      <c r="B26" s="11" t="s">
        <v>190</v>
      </c>
      <c r="C26" s="226">
        <f>IF(F8&lt;0,Gegevens!C142,0)</f>
        <v>0</v>
      </c>
      <c r="D26" s="249"/>
      <c r="E26" s="11" t="s">
        <v>237</v>
      </c>
      <c r="F26" s="48">
        <f>F21*IF(F24=0,F23,F24)</f>
        <v>0</v>
      </c>
    </row>
    <row r="27" spans="2:6" ht="4.95" customHeight="1" thickBot="1" x14ac:dyDescent="0.35">
      <c r="B27" s="200"/>
      <c r="C27" s="200"/>
      <c r="E27" s="200"/>
      <c r="F27" s="200"/>
    </row>
    <row r="28" spans="2:6" ht="15" thickBot="1" x14ac:dyDescent="0.35">
      <c r="B28" s="252" t="s">
        <v>236</v>
      </c>
      <c r="C28" s="253">
        <f>C21*IF(C24=0,C23,C24)*(1-C26)</f>
        <v>0</v>
      </c>
      <c r="D28" s="13"/>
      <c r="E28" s="228" t="s">
        <v>196</v>
      </c>
      <c r="F28" s="221">
        <v>0.02</v>
      </c>
    </row>
    <row r="29" spans="2:6" x14ac:dyDescent="0.3">
      <c r="B29" s="200"/>
      <c r="C29" s="200"/>
      <c r="E29" s="228" t="s">
        <v>198</v>
      </c>
      <c r="F29" s="286"/>
    </row>
    <row r="30" spans="2:6" ht="4.95" customHeight="1" thickBot="1" x14ac:dyDescent="0.35">
      <c r="E30" s="454"/>
      <c r="F30" s="454"/>
    </row>
    <row r="31" spans="2:6" ht="15" thickBot="1" x14ac:dyDescent="0.35">
      <c r="E31" s="252" t="s">
        <v>197</v>
      </c>
      <c r="F31" s="254">
        <f>F26*IF(F29=0,F28,F29)</f>
        <v>0</v>
      </c>
    </row>
  </sheetData>
  <sheetProtection sheet="1" objects="1" scenarios="1" selectLockedCells="1"/>
  <mergeCells count="10">
    <mergeCell ref="E30:F30"/>
    <mergeCell ref="C5:D5"/>
    <mergeCell ref="C6:D6"/>
    <mergeCell ref="C7:D7"/>
    <mergeCell ref="B8:E8"/>
    <mergeCell ref="B2:F3"/>
    <mergeCell ref="B25:C25"/>
    <mergeCell ref="B22:C22"/>
    <mergeCell ref="E22:F22"/>
    <mergeCell ref="E25:F25"/>
  </mergeCells>
  <conditionalFormatting sqref="B12:C18">
    <cfRule type="expression" dxfId="132" priority="4">
      <formula>$B$10=FALSE</formula>
    </cfRule>
  </conditionalFormatting>
  <conditionalFormatting sqref="E12:F18">
    <cfRule type="expression" dxfId="131" priority="3">
      <formula>$B$10=FALSE</formula>
    </cfRule>
  </conditionalFormatting>
  <dataValidations count="2">
    <dataValidation type="whole" allowBlank="1" showInputMessage="1" showErrorMessage="1" errorTitle="Maximaal 100 kg verleasen" error="Kies een getal tussen de 0 en de 100" sqref="C13" xr:uid="{FD358411-8A14-48FA-8404-E90BFD15E496}">
      <formula1>0</formula1>
      <formula2>100</formula2>
    </dataValidation>
    <dataValidation type="decimal" operator="greaterThanOrEqual" allowBlank="1" showInputMessage="1" showErrorMessage="1" errorTitle="Fout" error="Typ een getal groter of gelijk aan 0." sqref="C16 F13 F16 C24 F24 F29" xr:uid="{9FE2AFEC-0B30-444F-9933-4304FC846AA5}">
      <formula1>0</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0423" r:id="rId4" name="Check Box 7">
              <controlPr defaultSize="0" autoFill="0" autoLine="0" autoPict="0">
                <anchor moveWithCells="1">
                  <from>
                    <xdr:col>1</xdr:col>
                    <xdr:colOff>7620</xdr:colOff>
                    <xdr:row>9</xdr:row>
                    <xdr:rowOff>7620</xdr:rowOff>
                  </from>
                  <to>
                    <xdr:col>1</xdr:col>
                    <xdr:colOff>1752600</xdr:colOff>
                    <xdr:row>10</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CA024-F236-48B5-841A-E62E08EBBE39}">
  <sheetPr codeName="Blad35">
    <tabColor theme="9" tint="0.59999389629810485"/>
  </sheetPr>
  <dimension ref="A1:O46"/>
  <sheetViews>
    <sheetView showGridLines="0" zoomScale="80" zoomScaleNormal="80" workbookViewId="0"/>
  </sheetViews>
  <sheetFormatPr defaultRowHeight="14.4" x14ac:dyDescent="0.3"/>
  <cols>
    <col min="1" max="1" width="2.77734375" customWidth="1"/>
    <col min="2" max="2" width="20.44140625" customWidth="1"/>
    <col min="3" max="3" width="9.5546875" customWidth="1"/>
    <col min="4" max="4" width="16.21875" bestFit="1" customWidth="1"/>
    <col min="5" max="6" width="13" customWidth="1"/>
    <col min="8" max="8" width="21.6640625" customWidth="1"/>
    <col min="9" max="9" width="9.5546875" customWidth="1"/>
    <col min="10" max="10" width="16.21875" bestFit="1" customWidth="1"/>
    <col min="11" max="12" width="13" customWidth="1"/>
  </cols>
  <sheetData>
    <row r="1" spans="1:13" x14ac:dyDescent="0.3">
      <c r="A1" s="293"/>
    </row>
    <row r="2" spans="1:13" x14ac:dyDescent="0.3">
      <c r="B2" s="455" t="s">
        <v>172</v>
      </c>
      <c r="C2" s="455"/>
      <c r="D2" s="455"/>
      <c r="E2" s="455"/>
      <c r="F2" s="455"/>
      <c r="G2" s="455"/>
      <c r="H2" s="455"/>
      <c r="I2" s="455"/>
    </row>
    <row r="3" spans="1:13" x14ac:dyDescent="0.3">
      <c r="B3" s="455"/>
      <c r="C3" s="455"/>
      <c r="D3" s="455"/>
      <c r="E3" s="455"/>
      <c r="F3" s="455"/>
      <c r="G3" s="455"/>
      <c r="H3" s="455"/>
      <c r="I3" s="455"/>
    </row>
    <row r="5" spans="1:13" ht="14.55" customHeight="1" x14ac:dyDescent="0.3">
      <c r="B5" s="343" t="s">
        <v>44</v>
      </c>
      <c r="C5" s="343"/>
      <c r="D5" s="343"/>
      <c r="E5" s="343"/>
      <c r="F5" s="343"/>
      <c r="H5" s="343" t="s">
        <v>45</v>
      </c>
      <c r="I5" s="343"/>
      <c r="J5" s="343"/>
      <c r="K5" s="343"/>
      <c r="L5" s="343"/>
    </row>
    <row r="6" spans="1:13" x14ac:dyDescent="0.3">
      <c r="B6" s="343"/>
      <c r="C6" s="343"/>
      <c r="D6" s="343"/>
      <c r="E6" s="343"/>
      <c r="F6" s="343"/>
      <c r="H6" s="343"/>
      <c r="I6" s="343"/>
      <c r="J6" s="343"/>
      <c r="K6" s="343"/>
      <c r="L6" s="343"/>
    </row>
    <row r="7" spans="1:13" s="4" customFormat="1" ht="10.050000000000001" customHeight="1" x14ac:dyDescent="0.3">
      <c r="B7" s="213"/>
      <c r="C7" s="213"/>
      <c r="D7" s="213"/>
      <c r="E7" s="213"/>
      <c r="F7" s="213"/>
      <c r="G7" s="161"/>
      <c r="H7" s="213"/>
      <c r="I7" s="213"/>
      <c r="J7" s="213"/>
      <c r="K7" s="213"/>
      <c r="L7" s="213"/>
      <c r="M7" s="161"/>
    </row>
    <row r="8" spans="1:13" x14ac:dyDescent="0.3">
      <c r="B8" s="210" t="s">
        <v>25</v>
      </c>
      <c r="C8" s="193" t="s">
        <v>6</v>
      </c>
      <c r="D8" s="193" t="s">
        <v>46</v>
      </c>
      <c r="E8" s="193" t="s">
        <v>47</v>
      </c>
      <c r="F8" s="193" t="s">
        <v>48</v>
      </c>
      <c r="H8" s="210" t="s">
        <v>25</v>
      </c>
      <c r="I8" s="193" t="s">
        <v>6</v>
      </c>
      <c r="J8" s="193" t="s">
        <v>46</v>
      </c>
      <c r="K8" s="193" t="s">
        <v>47</v>
      </c>
      <c r="L8" s="193" t="s">
        <v>48</v>
      </c>
    </row>
    <row r="9" spans="1:13" ht="2.5499999999999998" customHeight="1" x14ac:dyDescent="0.3">
      <c r="B9" s="11"/>
      <c r="C9" s="11"/>
      <c r="D9" s="11"/>
      <c r="E9" s="11"/>
      <c r="F9" s="11"/>
      <c r="H9" s="11"/>
      <c r="I9" s="11"/>
      <c r="J9" s="11"/>
      <c r="K9" s="11"/>
      <c r="L9" s="11"/>
    </row>
    <row r="10" spans="1:13" x14ac:dyDescent="0.3">
      <c r="B10" s="11" t="s">
        <v>26</v>
      </c>
      <c r="C10" s="44">
        <f>Bouwplan!C12</f>
        <v>0</v>
      </c>
      <c r="D10" s="44">
        <f>IF('Grasland (blijvend) huidig'!$B$5=1,'Grasland (blijvend) huidig'!$C$9,IF('Grasland (blijvend) huidig'!$D$9=0,'Grasland (blijvend) huidig'!$C$9,'Grasland (blijvend) huidig'!$D$9))</f>
        <v>9500</v>
      </c>
      <c r="E10" s="44">
        <f>IF('Grasland (blijvend) huidig'!$B$5=1,'Grasland (blijvend) huidig'!$C$10,IF('Grasland (blijvend) huidig'!$D$10=0,'Grasland (blijvend) huidig'!$C$10,'Grasland (blijvend) huidig'!$D$10))</f>
        <v>905</v>
      </c>
      <c r="F10" s="44">
        <f>IF('Grasland (blijvend) huidig'!$B$5=1,'Grasland (blijvend) huidig'!$C$11,IF('Grasland (blijvend) huidig'!$D$11=0,'Grasland (blijvend) huidig'!$C$11,'Grasland (blijvend) huidig'!$D$11))</f>
        <v>72</v>
      </c>
      <c r="H10" s="44" t="s">
        <v>26</v>
      </c>
      <c r="I10" s="44">
        <f>Bouwplan!J12</f>
        <v>0</v>
      </c>
      <c r="J10" s="44">
        <f>IF('Grasland (blijvend) nieuw'!$B$5=1,'Grasland (blijvend) nieuw'!$C$10,IF('Grasland (blijvend) nieuw'!$B$5=2,IF('Grasland (blijvend) nieuw'!$D$10=0,'Grasland (blijvend) nieuw'!$C$10,'Grasland (blijvend) nieuw'!$D$10),IF('Grasland (blijvend) nieuw'!$E$10=0,'Grasland (blijvend) nieuw'!$C$10,'Grasland (blijvend) nieuw'!$E$10)))</f>
        <v>9500</v>
      </c>
      <c r="K10" s="44">
        <f>IF('Grasland (blijvend) nieuw'!$B$5=1,'Grasland (blijvend) nieuw'!$C$11,IF('Grasland (blijvend) nieuw'!$B$5=2,IF('Grasland (blijvend) nieuw'!$D$11=0,'Grasland (blijvend) nieuw'!$C$11,'Grasland (blijvend) nieuw'!$D$11),IF('Grasland (blijvend) nieuw'!$E$11=0,'Grasland (blijvend) nieuw'!$C$11,'Grasland (blijvend) nieuw'!$E$11)))</f>
        <v>905</v>
      </c>
      <c r="L10" s="44">
        <f>IF('Grasland (blijvend) nieuw'!$B$5=1,'Grasland (blijvend) nieuw'!$C$12,IF('Grasland (blijvend) nieuw'!$B$5=2,IF('Grasland (blijvend) nieuw'!$D$12=0,'Grasland (blijvend) nieuw'!$C$12,'Grasland (blijvend) nieuw'!$D$12),IF('Grasland (blijvend) nieuw'!$E$12=0,'Grasland (blijvend) nieuw'!$C$12,'Grasland (blijvend) nieuw'!$E$12)))</f>
        <v>72</v>
      </c>
    </row>
    <row r="11" spans="1:13" ht="2.5499999999999998" customHeight="1" x14ac:dyDescent="0.3">
      <c r="B11" s="11"/>
      <c r="C11" s="44"/>
      <c r="D11" s="44"/>
      <c r="E11" s="44"/>
      <c r="F11" s="44"/>
      <c r="H11" s="44"/>
      <c r="I11" s="44"/>
      <c r="J11" s="44"/>
      <c r="K11" s="44"/>
      <c r="L11" s="44"/>
    </row>
    <row r="12" spans="1:13" x14ac:dyDescent="0.3">
      <c r="B12" s="11" t="s">
        <v>28</v>
      </c>
      <c r="C12" s="44">
        <f>Bouwplan!C14</f>
        <v>0</v>
      </c>
      <c r="D12" s="44">
        <f>IF('Grasland (tijdelijk) huidig'!$B$5=1,'Grasland (tijdelijk) huidig'!$C$9,IF('Grasland (tijdelijk) huidig'!$D$9=0,'Grasland (tijdelijk) huidig'!$C$9,'Grasland (tijdelijk) huidig'!$D$9))</f>
        <v>10000</v>
      </c>
      <c r="E12" s="44">
        <f>IF('Grasland (tijdelijk) huidig'!$B$5=1,'Grasland (tijdelijk) huidig'!$C$10,IF('Grasland (tijdelijk) huidig'!$D$10=0,'Grasland (tijdelijk) huidig'!$C$10,'Grasland (tijdelijk) huidig'!$D$10))</f>
        <v>905</v>
      </c>
      <c r="F12" s="44">
        <f>IF('Grasland (tijdelijk) huidig'!$B$5=1,'Grasland (tijdelijk) huidig'!$C$11,IF('Grasland (tijdelijk) huidig'!$D$11=0,'Grasland (tijdelijk) huidig'!$C$11,'Grasland (tijdelijk) huidig'!$D$11))</f>
        <v>72</v>
      </c>
      <c r="H12" s="44" t="s">
        <v>28</v>
      </c>
      <c r="I12" s="44">
        <f>Bouwplan!J14</f>
        <v>0</v>
      </c>
      <c r="J12" s="44">
        <f>IF('Grasland (tijdelijk) nieuw'!$B$5=1,'Grasland (tijdelijk) nieuw'!$C$10,IF('Grasland (tijdelijk) nieuw'!$B$5=2,IF('Grasland (tijdelijk) nieuw'!$D$10=0,'Grasland (tijdelijk) nieuw'!$C$10,'Grasland (tijdelijk) nieuw'!$D$10),IF('Grasland (tijdelijk) nieuw'!$E$10=0,'Grasland (tijdelijk) nieuw'!$C$10,'Grasland (tijdelijk) nieuw'!$E$10)))</f>
        <v>10000</v>
      </c>
      <c r="K12" s="44">
        <f>IF('Grasland (tijdelijk) nieuw'!$B$5=1,'Grasland (tijdelijk) nieuw'!$C$11,IF('Grasland (tijdelijk) nieuw'!$B$5=2,IF('Grasland (tijdelijk) nieuw'!$D$11=0,'Grasland (tijdelijk) nieuw'!$C$11,'Grasland (tijdelijk) nieuw'!$D$11),IF('Grasland (tijdelijk) nieuw'!$E$11=0,'Grasland (tijdelijk) nieuw'!$C$11,'Grasland (tijdelijk) nieuw'!$E$11)))</f>
        <v>905</v>
      </c>
      <c r="L12" s="44">
        <f>IF('Grasland (tijdelijk) nieuw'!$B$5=1,'Grasland (tijdelijk) nieuw'!$C$12,IF('Grasland (tijdelijk) nieuw'!$B$5=2,IF('Grasland (tijdelijk) nieuw'!$D$12=0,'Grasland (tijdelijk) nieuw'!$C$12,'Grasland (tijdelijk) nieuw'!$D$12),IF('Grasland (tijdelijk) nieuw'!$E$12=0,'Grasland (tijdelijk) nieuw'!$C$12,'Grasland (tijdelijk) nieuw'!$E$12)))</f>
        <v>72</v>
      </c>
    </row>
    <row r="13" spans="1:13" ht="2.5499999999999998" customHeight="1" x14ac:dyDescent="0.3">
      <c r="B13" s="11"/>
      <c r="C13" s="44"/>
      <c r="D13" s="44"/>
      <c r="E13" s="44"/>
      <c r="F13" s="44"/>
      <c r="H13" s="44"/>
      <c r="I13" s="44"/>
      <c r="J13" s="44"/>
      <c r="K13" s="44"/>
      <c r="L13" s="44"/>
    </row>
    <row r="14" spans="1:13" x14ac:dyDescent="0.3">
      <c r="B14" s="11" t="s">
        <v>29</v>
      </c>
      <c r="C14" s="44">
        <f>Bouwplan!C16</f>
        <v>0</v>
      </c>
      <c r="D14" s="44">
        <f>IF('Grasklaver huidig'!$B$5=1,'Grasklaver huidig'!$C$9,IF('Grasklaver huidig'!$D$9=0,'Grasklaver huidig'!$C$9,'Grasklaver huidig'!$D$9))</f>
        <v>10000</v>
      </c>
      <c r="E14" s="44">
        <f>IF('Grasklaver huidig'!$B$5=1,'Grasklaver huidig'!$C$10,IF('Grasklaver huidig'!$D$10=0,'Grasklaver huidig'!$C$10,'Grasklaver huidig'!$D$10))</f>
        <v>905</v>
      </c>
      <c r="F14" s="44">
        <f>IF('Grasklaver huidig'!$B$5=1,'Grasklaver huidig'!$C$11,IF('Grasklaver huidig'!$D$11=0,'Grasklaver huidig'!$C$11,'Grasklaver huidig'!$D$11))</f>
        <v>72</v>
      </c>
      <c r="H14" s="44" t="s">
        <v>29</v>
      </c>
      <c r="I14" s="44">
        <f>Bouwplan!J16</f>
        <v>0</v>
      </c>
      <c r="J14" s="44">
        <f>IF('Grasklaver nieuw'!$B$5=1,'Grasklaver nieuw'!$C$10,IF('Grasklaver nieuw'!$B$5=2,IF('Grasklaver nieuw'!$D$10=0,'Grasklaver nieuw'!$C$10,'Grasklaver nieuw'!$D$10),IF('Grasklaver nieuw'!$E$10=0,'Grasklaver nieuw'!$C$10,'Grasklaver nieuw'!$E$10)))</f>
        <v>10000</v>
      </c>
      <c r="K14" s="44">
        <f>IF('Grasklaver nieuw'!$B$5=1,'Grasklaver nieuw'!$C$11,IF('Grasklaver nieuw'!$B$5=2,IF('Grasklaver nieuw'!$D$11=0,'Grasklaver nieuw'!$C$11,'Grasklaver nieuw'!$D$11),IF('Grasklaver nieuw'!$E$11=0,'Grasklaver nieuw'!$C$11,'Grasklaver nieuw'!$E$11)))</f>
        <v>905</v>
      </c>
      <c r="L14" s="44">
        <f>IF('Grasklaver nieuw'!$B$5=1,'Grasklaver nieuw'!$C$12,IF('Grasklaver nieuw'!$B$5=2,IF('Grasklaver nieuw'!$D$12=0,'Grasklaver nieuw'!$C$12,'Grasklaver nieuw'!$D$12),IF('Grasklaver nieuw'!$E$12=0,'Grasklaver nieuw'!$C$12,'Grasklaver nieuw'!$E$12)))</f>
        <v>72</v>
      </c>
    </row>
    <row r="15" spans="1:13" ht="2.5499999999999998" customHeight="1" x14ac:dyDescent="0.3">
      <c r="B15" s="11"/>
      <c r="C15" s="44"/>
      <c r="D15" s="44"/>
      <c r="E15" s="44"/>
      <c r="F15" s="44"/>
      <c r="H15" s="44"/>
      <c r="I15" s="44"/>
      <c r="J15" s="44"/>
      <c r="K15" s="44"/>
      <c r="L15" s="44"/>
    </row>
    <row r="16" spans="1:13" x14ac:dyDescent="0.3">
      <c r="B16" s="11" t="s">
        <v>30</v>
      </c>
      <c r="C16" s="44">
        <f>Bouwplan!C18</f>
        <v>0</v>
      </c>
      <c r="D16" s="44">
        <f>IF('Kruidenrijk grasland huidig'!$B$5=1,'Kruidenrijk grasland huidig'!$C$9,IF('Kruidenrijk grasland huidig'!$D$9=0,'Kruidenrijk grasland huidig'!$C$9,'Kruidenrijk grasland huidig'!$D$9))</f>
        <v>10000</v>
      </c>
      <c r="E16" s="44">
        <f>IF('Kruidenrijk grasland huidig'!$B$5=1,'Kruidenrijk grasland huidig'!$C$10,IF('Kruidenrijk grasland huidig'!$D$10=0,'Kruidenrijk grasland huidig'!$C$10,'Kruidenrijk grasland huidig'!$D$10))</f>
        <v>905</v>
      </c>
      <c r="F16" s="44">
        <f>IF('Kruidenrijk grasland huidig'!$B$5=1,'Kruidenrijk grasland huidig'!$C$11,IF('Kruidenrijk grasland huidig'!$D$11=0,'Kruidenrijk grasland huidig'!$C$11,'Kruidenrijk grasland huidig'!$D$11))</f>
        <v>60</v>
      </c>
      <c r="H16" s="44" t="s">
        <v>30</v>
      </c>
      <c r="I16" s="44">
        <f>Bouwplan!J18</f>
        <v>0</v>
      </c>
      <c r="J16" s="44">
        <f>IF('Kruidenrijk grasland nieuw'!$B$5=1,'Kruidenrijk grasland nieuw'!$C$10,IF('Kruidenrijk grasland nieuw'!$B$5=2,IF('Kruidenrijk grasland nieuw'!$D$10=0,'Kruidenrijk grasland nieuw'!$C$10,'Kruidenrijk grasland nieuw'!$D$10),IF('Kruidenrijk grasland nieuw'!$E$10=0,'Kruidenrijk grasland nieuw'!$C$10,'Kruidenrijk grasland nieuw'!$E$10)))</f>
        <v>10000</v>
      </c>
      <c r="K16" s="44">
        <f>IF('Kruidenrijk grasland nieuw'!$B$5=1,'Kruidenrijk grasland nieuw'!$C$11,IF('Kruidenrijk grasland nieuw'!$B$5=2,IF('Kruidenrijk grasland nieuw'!$D$11=0,'Kruidenrijk grasland nieuw'!$C$11,'Kruidenrijk grasland nieuw'!$D$11),IF('Kruidenrijk grasland nieuw'!$E$11=0,'Kruidenrijk grasland nieuw'!$C$11,'Kruidenrijk grasland nieuw'!$E$11)))</f>
        <v>905</v>
      </c>
      <c r="L16" s="44">
        <f>IF('Kruidenrijk grasland nieuw'!$B$5=1,'Kruidenrijk grasland nieuw'!$C$12,IF('Kruidenrijk grasland nieuw'!$B$5=2,IF('Kruidenrijk grasland nieuw'!$D$12=0,'Kruidenrijk grasland nieuw'!$C$12,'Kruidenrijk grasland nieuw'!$D$12),IF('Kruidenrijk grasland nieuw'!$E$12=0,'Kruidenrijk grasland nieuw'!$C$12,'Kruidenrijk grasland nieuw'!$E$12)))</f>
        <v>60</v>
      </c>
    </row>
    <row r="17" spans="2:15" ht="2.5499999999999998" customHeight="1" x14ac:dyDescent="0.3">
      <c r="B17" s="11"/>
      <c r="C17" s="44"/>
      <c r="D17" s="44"/>
      <c r="E17" s="44"/>
      <c r="F17" s="44"/>
      <c r="H17" s="44"/>
      <c r="I17" s="44"/>
      <c r="J17" s="44"/>
      <c r="K17" s="44"/>
      <c r="L17" s="44"/>
    </row>
    <row r="18" spans="2:15" x14ac:dyDescent="0.3">
      <c r="B18" s="11" t="s">
        <v>31</v>
      </c>
      <c r="C18" s="44">
        <f>Bouwplan!C20</f>
        <v>0</v>
      </c>
      <c r="D18" s="44">
        <f>IF('Luzerne huidig'!$B$5=1,'Luzerne huidig'!$C$9,IF('Luzerne huidig'!$D$9=0,'Luzerne huidig'!$C$9,'Luzerne huidig'!$D$9))</f>
        <v>10500</v>
      </c>
      <c r="E18" s="44">
        <f>IF('Luzerne huidig'!$B$5=1,'Luzerne huidig'!$C$10,IF('Luzerne huidig'!$D$10=0,'Luzerne huidig'!$C$10,'Luzerne huidig'!$D$10))</f>
        <v>880</v>
      </c>
      <c r="F18" s="44">
        <f>IF('Luzerne huidig'!$B$5=1,'Luzerne huidig'!$C$11,IF('Luzerne huidig'!$D$11=0,'Luzerne huidig'!$C$11,'Luzerne huidig'!$D$11))</f>
        <v>48</v>
      </c>
      <c r="H18" s="44" t="s">
        <v>31</v>
      </c>
      <c r="I18" s="44">
        <f>Bouwplan!J20</f>
        <v>0</v>
      </c>
      <c r="J18" s="44">
        <f>IF('Luzerne nieuw'!$B$5=1,'Luzerne nieuw'!$C$10,IF('Luzerne nieuw'!$B$5=2,IF('Luzerne nieuw'!$D$10=0,'Luzerne nieuw'!$C$10,'Luzerne nieuw'!$D$10),IF('Luzerne nieuw'!$E$10=0,'Luzerne nieuw'!$C$10,'Luzerne nieuw'!$E$10)))</f>
        <v>10500</v>
      </c>
      <c r="K18" s="44">
        <f>IF('Luzerne nieuw'!$B$5=1,'Luzerne nieuw'!$C$11,IF('Luzerne nieuw'!$B$5=2,IF('Luzerne nieuw'!$D$11=0,'Luzerne nieuw'!$C$11,'Luzerne nieuw'!$D$11),IF('Luzerne nieuw'!$E$11=0,'Luzerne nieuw'!$C$11,'Luzerne nieuw'!$E$11)))</f>
        <v>880</v>
      </c>
      <c r="L18" s="44">
        <f>IF('Luzerne nieuw'!$B$5=1,'Luzerne nieuw'!$C$12,IF('Luzerne nieuw'!$B$5=2,IF('Luzerne nieuw'!$D$12=0,'Luzerne nieuw'!$C$12,'Luzerne nieuw'!$D$12),IF('Luzerne nieuw'!$E$12=0,'Luzerne nieuw'!$C$12,'Luzerne nieuw'!$E$12)))</f>
        <v>48</v>
      </c>
    </row>
    <row r="19" spans="2:15" ht="2.5499999999999998" customHeight="1" x14ac:dyDescent="0.3">
      <c r="B19" s="11"/>
      <c r="C19" s="44"/>
      <c r="D19" s="44"/>
      <c r="E19" s="44"/>
      <c r="F19" s="44"/>
      <c r="H19" s="44"/>
      <c r="I19" s="44"/>
      <c r="J19" s="44"/>
      <c r="K19" s="44"/>
      <c r="L19" s="44"/>
    </row>
    <row r="20" spans="2:15" x14ac:dyDescent="0.3">
      <c r="B20" s="11" t="s">
        <v>32</v>
      </c>
      <c r="C20" s="44">
        <f>Bouwplan!C22</f>
        <v>0</v>
      </c>
      <c r="D20" s="44">
        <f>IF('Natuurgras huidig'!$B$5=1,'Natuurgras huidig'!$C$9,IF('Natuurgras huidig'!$D$9=0,'Natuurgras huidig'!$C$9,'Natuurgras huidig'!$D$9))</f>
        <v>6000</v>
      </c>
      <c r="E20" s="44">
        <f>IF('Natuurgras huidig'!$B$5=1,'Natuurgras huidig'!$C$10,IF('Natuurgras huidig'!$D$10=0,'Natuurgras huidig'!$C$10,'Natuurgras huidig'!$D$10))</f>
        <v>720</v>
      </c>
      <c r="F20" s="44">
        <f>IF('Natuurgras huidig'!$B$5=1,'Natuurgras huidig'!$C$11,IF('Natuurgras huidig'!$D$11=0,'Natuurgras huidig'!$C$11,'Natuurgras huidig'!$D$11))</f>
        <v>50</v>
      </c>
      <c r="H20" s="44" t="s">
        <v>32</v>
      </c>
      <c r="I20" s="44">
        <f>Bouwplan!J22</f>
        <v>0</v>
      </c>
      <c r="J20" s="44">
        <f>IF('Natuurgras nieuw'!$B$5=1,'Natuurgras nieuw'!$C$10,IF('Natuurgras nieuw'!$B$5=2,IF('Natuurgras nieuw'!$D$10=0,'Natuurgras nieuw'!$C$10,'Natuurgras nieuw'!$D$10),IF('Natuurgras nieuw'!$E$10=0,'Natuurgras nieuw'!$C$10,'Natuurgras nieuw'!$E$10)))</f>
        <v>6000</v>
      </c>
      <c r="K20" s="44">
        <f>IF('Natuurgras nieuw'!$B$5=1,'Natuurgras nieuw'!$C$11,IF('Natuurgras nieuw'!$B$5=2,IF('Natuurgras nieuw'!$D$11=0,'Natuurgras nieuw'!$C$11,'Natuurgras nieuw'!$D$11),IF('Natuurgras nieuw'!$E$11=0,'Natuurgras nieuw'!$C$11,'Natuurgras nieuw'!$E$11)))</f>
        <v>720</v>
      </c>
      <c r="L20" s="44">
        <f>IF('Natuurgras nieuw'!$B$5=1,'Natuurgras nieuw'!$C$12,IF('Natuurgras nieuw'!$B$5=2,IF('Natuurgras nieuw'!$D$12=0,'Natuurgras nieuw'!$C$12,'Natuurgras nieuw'!$D$12),IF('Natuurgras nieuw'!$E$12=0,'Natuurgras nieuw'!$C$12,'Natuurgras nieuw'!$E$12)))</f>
        <v>50</v>
      </c>
    </row>
    <row r="21" spans="2:15" ht="2.5499999999999998" customHeight="1" x14ac:dyDescent="0.3">
      <c r="B21" s="11"/>
      <c r="C21" s="44"/>
      <c r="D21" s="44"/>
      <c r="E21" s="44"/>
      <c r="F21" s="44"/>
      <c r="H21" s="44"/>
      <c r="I21" s="44"/>
      <c r="J21" s="44"/>
      <c r="K21" s="44"/>
      <c r="L21" s="44"/>
    </row>
    <row r="22" spans="2:15" x14ac:dyDescent="0.3">
      <c r="B22" s="11" t="s">
        <v>33</v>
      </c>
      <c r="C22" s="44">
        <f>Bouwplan!C24</f>
        <v>0</v>
      </c>
      <c r="D22" s="44">
        <f>IF('Maisland huidig'!$B$5=1,'Maisland huidig'!$C$9,IF('Maisland huidig'!$D$9=0,'Maisland huidig'!$C$9,'Maisland huidig'!$D$9))</f>
        <v>16500</v>
      </c>
      <c r="E22" s="44">
        <f>IF('Maisland huidig'!$B$5=1,'Maisland huidig'!$C$10,IF('Maisland huidig'!$D$10=0,'Maisland huidig'!$C$10,'Maisland huidig'!$D$10))</f>
        <v>980</v>
      </c>
      <c r="F22" s="44">
        <f>IF('Maisland huidig'!$B$5=1,'Maisland huidig'!$C$11,IF('Maisland huidig'!$D$11=0,'Maisland huidig'!$C$11,'Maisland huidig'!$D$11))</f>
        <v>52</v>
      </c>
      <c r="H22" s="44" t="s">
        <v>33</v>
      </c>
      <c r="I22" s="44">
        <f>Bouwplan!J24</f>
        <v>0</v>
      </c>
      <c r="J22" s="44">
        <f>IF('Maisland nieuw'!$B$5=1,'Maisland nieuw'!$C$10,IF('Maisland nieuw'!$B$5=2,IF('Maisland nieuw'!$D$10=0,'Maisland nieuw'!$C$10,'Maisland nieuw'!$D$10),IF('Maisland nieuw'!$E$10=0,'Maisland nieuw'!$C$10,'Maisland nieuw'!$E$10)))</f>
        <v>16500</v>
      </c>
      <c r="K22" s="44">
        <f>IF('Maisland nieuw'!$B$5=1,'Maisland nieuw'!$C$11,IF('Maisland nieuw'!$B$5=2,IF('Maisland nieuw'!$D$11=0,'Maisland nieuw'!$C$11,'Maisland nieuw'!$D$11),IF('Maisland nieuw'!$E$11=0,'Maisland nieuw'!$C$11,'Maisland nieuw'!$E$11)))</f>
        <v>980</v>
      </c>
      <c r="L22" s="44">
        <f>IF('Maisland nieuw'!$B$5=1,'Maisland nieuw'!$C$12,IF('Maisland nieuw'!$B$5=2,IF('Maisland nieuw'!$D$12=0,'Maisland nieuw'!$C$12,'Maisland nieuw'!$D$12),IF('Maisland nieuw'!$E$12=0,'Maisland nieuw'!$C$12,'Maisland nieuw'!$E$12)))</f>
        <v>52</v>
      </c>
    </row>
    <row r="23" spans="2:15" ht="2.5499999999999998" customHeight="1" x14ac:dyDescent="0.3">
      <c r="B23" s="11"/>
      <c r="C23" s="44"/>
      <c r="D23" s="44"/>
      <c r="E23" s="44"/>
      <c r="F23" s="44"/>
      <c r="H23" s="44"/>
      <c r="I23" s="44"/>
      <c r="J23" s="44"/>
      <c r="K23" s="44"/>
      <c r="L23" s="44"/>
    </row>
    <row r="24" spans="2:15" x14ac:dyDescent="0.3">
      <c r="B24" s="11" t="s">
        <v>34</v>
      </c>
      <c r="C24" s="44">
        <f>Bouwplan!C26</f>
        <v>0</v>
      </c>
      <c r="D24" s="44">
        <f>IF('Voederbieten huidig'!$B$5=1,'Voederbieten huidig'!$C$9,IF('Voederbieten huidig'!$D$9=0,'Voederbieten huidig'!$C$9,'Voederbieten huidig'!$D$9))</f>
        <v>17000</v>
      </c>
      <c r="E24" s="44">
        <f>IF('Voederbieten huidig'!$B$5=1,'Voederbieten huidig'!$C$10,IF('Voederbieten huidig'!$D$10=0,'Voederbieten huidig'!$C$10,'Voederbieten huidig'!$D$10))</f>
        <v>1100</v>
      </c>
      <c r="F24" s="44">
        <f>IF('Voederbieten huidig'!$B$5=1,'Voederbieten huidig'!$C$11,IF('Voederbieten huidig'!$D$11=0,'Voederbieten huidig'!$C$11,'Voederbieten huidig'!$D$11))</f>
        <v>100</v>
      </c>
      <c r="H24" s="44" t="s">
        <v>34</v>
      </c>
      <c r="I24" s="44">
        <f>Bouwplan!J26</f>
        <v>0</v>
      </c>
      <c r="J24" s="44">
        <f>IF('Voederbieten nieuw'!$B$5=1,'Voederbieten nieuw'!$C$10,IF('Voederbieten nieuw'!$B$5=2,IF('Voederbieten nieuw'!$D$10=0,'Voederbieten nieuw'!$C$10,'Voederbieten nieuw'!$D$10),IF('Voederbieten nieuw'!$E$10=0,'Voederbieten nieuw'!$C$10,'Voederbieten nieuw'!$E$10)))</f>
        <v>17000</v>
      </c>
      <c r="K24" s="44">
        <f>IF('Voederbieten nieuw'!$B$5=1,'Voederbieten nieuw'!$C$11,IF('Voederbieten nieuw'!$B$5=2,IF('Voederbieten nieuw'!$D$11=0,'Voederbieten nieuw'!$C$11,'Voederbieten nieuw'!$D$11),IF('Voederbieten nieuw'!$E$11=0,'Voederbieten nieuw'!$C$11,'Voederbieten nieuw'!$E$11)))</f>
        <v>1100</v>
      </c>
      <c r="L24" s="44">
        <f>IF('Voederbieten nieuw'!$B$5=1,'Voederbieten nieuw'!$C$12,IF('Voederbieten nieuw'!$B$5=2,IF('Voederbieten nieuw'!$D$12=0,'Voederbieten nieuw'!$C$12,'Voederbieten nieuw'!$D$12),IF('Voederbieten nieuw'!$E$12=0,'Voederbieten nieuw'!$C$12,'Voederbieten nieuw'!$E$12)))</f>
        <v>100</v>
      </c>
      <c r="O24" s="46"/>
    </row>
    <row r="25" spans="2:15" ht="2.5499999999999998" customHeight="1" x14ac:dyDescent="0.3">
      <c r="B25" s="11"/>
      <c r="C25" s="44"/>
      <c r="D25" s="44"/>
      <c r="E25" s="44"/>
      <c r="F25" s="44"/>
      <c r="H25" s="44"/>
      <c r="I25" s="44"/>
      <c r="J25" s="44"/>
      <c r="K25" s="44"/>
      <c r="L25" s="44"/>
    </row>
    <row r="26" spans="2:15" x14ac:dyDescent="0.3">
      <c r="B26" s="11" t="s">
        <v>35</v>
      </c>
      <c r="C26" s="44">
        <f>Bouwplan!C28</f>
        <v>0</v>
      </c>
      <c r="D26" s="44">
        <f>IF('Sorghum huidig'!$B$5=1,'Sorghum huidig'!$C$9,IF('Sorghum huidig'!$D$9=0,'Sorghum huidig'!$C$9,'Sorghum huidig'!$D$9))</f>
        <v>11500</v>
      </c>
      <c r="E26" s="44">
        <f>IF('Sorghum huidig'!$B$5=1,'Sorghum huidig'!$C$10,IF('Sorghum huidig'!$D$10=0,'Sorghum huidig'!$C$10,'Sorghum huidig'!$D$10))</f>
        <v>869</v>
      </c>
      <c r="F26" s="44">
        <f>IF('Sorghum huidig'!$B$5=1,'Sorghum huidig'!$C$11,IF('Sorghum huidig'!$D$11=0,'Sorghum huidig'!$C$11,'Sorghum huidig'!$D$11))</f>
        <v>67</v>
      </c>
      <c r="H26" s="44" t="s">
        <v>35</v>
      </c>
      <c r="I26" s="44">
        <f>Bouwplan!J28</f>
        <v>0</v>
      </c>
      <c r="J26" s="44">
        <f>IF('Sorghum nieuw'!$B$5=1,'Sorghum nieuw'!$C$10,IF('Sorghum nieuw'!$B$5=2,IF('Sorghum nieuw'!$D$10=0,'Sorghum nieuw'!$C$10,'Sorghum nieuw'!$D$10),IF('Sorghum nieuw'!$E$10=0,'Sorghum nieuw'!$C$10,'Sorghum nieuw'!$E$10)))</f>
        <v>11500</v>
      </c>
      <c r="K26" s="44">
        <f>IF('Sorghum nieuw'!$B$5=1,'Sorghum nieuw'!$C$11,IF('Sorghum nieuw'!$B$5=2,IF('Sorghum nieuw'!$D$11=0,'Sorghum nieuw'!$C$11,'Sorghum nieuw'!$D$11),IF('Sorghum nieuw'!$E$11=0,'Sorghum nieuw'!$C$11,'Sorghum nieuw'!$E$11)))</f>
        <v>869</v>
      </c>
      <c r="L26" s="44">
        <f>IF('Sorghum nieuw'!$B$5=1,'Sorghum nieuw'!$C$12,IF('Sorghum nieuw'!$B$5=2,IF('Sorghum nieuw'!$D$12=0,'Sorghum nieuw'!$C$12,'Sorghum nieuw'!$D$12),IF('Sorghum nieuw'!$E$12=0,'Sorghum nieuw'!$C$12,'Sorghum nieuw'!$E$12)))</f>
        <v>67</v>
      </c>
    </row>
    <row r="27" spans="2:15" ht="2.5499999999999998" customHeight="1" x14ac:dyDescent="0.3">
      <c r="B27" s="11"/>
      <c r="C27" s="44"/>
      <c r="D27" s="44"/>
      <c r="E27" s="44"/>
      <c r="F27" s="44"/>
      <c r="H27" s="44"/>
      <c r="I27" s="44"/>
      <c r="J27" s="44"/>
      <c r="K27" s="44"/>
      <c r="L27" s="44"/>
    </row>
    <row r="28" spans="2:15" x14ac:dyDescent="0.3">
      <c r="B28" s="11" t="str">
        <f>Bouwplan!B30</f>
        <v xml:space="preserve">Anders: </v>
      </c>
      <c r="C28" s="44">
        <f>Bouwplan!C30</f>
        <v>0</v>
      </c>
      <c r="D28" s="44">
        <f>'Anders ruwvoer huidig'!$C$8</f>
        <v>0</v>
      </c>
      <c r="E28" s="44">
        <f>'Anders ruwvoer huidig'!$C$9</f>
        <v>0</v>
      </c>
      <c r="F28" s="44">
        <f>'Anders ruwvoer huidig'!$C$10</f>
        <v>0</v>
      </c>
      <c r="H28" s="44" t="str">
        <f>Bouwplan!I30</f>
        <v xml:space="preserve">Anders: </v>
      </c>
      <c r="I28" s="44">
        <f>Bouwplan!J30</f>
        <v>0</v>
      </c>
      <c r="J28" s="44">
        <f>'Anders ruwvoer nieuw'!$C$8</f>
        <v>0</v>
      </c>
      <c r="K28" s="44">
        <f>'Anders ruwvoer nieuw'!$C$9</f>
        <v>0</v>
      </c>
      <c r="L28" s="44">
        <f>'Anders ruwvoer nieuw'!$C$10</f>
        <v>0</v>
      </c>
    </row>
    <row r="29" spans="2:15" ht="2.5499999999999998" customHeight="1" x14ac:dyDescent="0.3">
      <c r="B29" s="11"/>
      <c r="C29" s="44"/>
      <c r="D29" s="44"/>
      <c r="E29" s="44"/>
      <c r="F29" s="44"/>
      <c r="H29" s="44"/>
      <c r="I29" s="44"/>
      <c r="J29" s="44"/>
      <c r="K29" s="44"/>
      <c r="L29" s="44"/>
    </row>
    <row r="30" spans="2:15" x14ac:dyDescent="0.3">
      <c r="B30" s="214" t="s">
        <v>49</v>
      </c>
      <c r="C30" s="204">
        <f>SUM(C10:C28)</f>
        <v>0</v>
      </c>
      <c r="D30" s="204">
        <f>IF(C30=0,0,SUMPRODUCT(C10:C28,D10:D28)/C30)</f>
        <v>0</v>
      </c>
      <c r="E30" s="204">
        <f>IF(D30=0,0,SUMPRODUCT(D10:D28,E10:E28,C10:C28)/SUMPRODUCT(C10:C26,D10:D26))</f>
        <v>0</v>
      </c>
      <c r="F30" s="204">
        <f>IF(D30=0,0,SUMPRODUCT(D10:D28,F10:F28,C10:C28)/SUMPRODUCT(C10:C26,D10:D26))</f>
        <v>0</v>
      </c>
      <c r="H30" s="215" t="s">
        <v>49</v>
      </c>
      <c r="I30" s="204">
        <f>SUM(I10:I28)</f>
        <v>0</v>
      </c>
      <c r="J30" s="204">
        <f>IF(I30=0,0,SUMPRODUCT(I10:I28,J10:J28)/I30)</f>
        <v>0</v>
      </c>
      <c r="K30" s="204">
        <f>IF(J30=0,0,SUMPRODUCT(J10:J28,K10:K28,I10:I28)/SUMPRODUCT(I10:I26,J10:J26))</f>
        <v>0</v>
      </c>
      <c r="L30" s="204">
        <f>IF(J30=0,0,SUMPRODUCT(J10:J28,L10:L28,I10:I28)/SUMPRODUCT(I10:I26,J10:J26))</f>
        <v>0</v>
      </c>
    </row>
    <row r="31" spans="2:15" ht="12.45" customHeight="1" x14ac:dyDescent="0.3">
      <c r="B31" s="11"/>
      <c r="C31" s="44"/>
      <c r="D31" s="44"/>
      <c r="E31" s="44"/>
      <c r="F31" s="44"/>
      <c r="H31" s="44"/>
      <c r="I31" s="44"/>
      <c r="J31" s="44"/>
      <c r="K31" s="44"/>
      <c r="L31" s="44"/>
    </row>
    <row r="32" spans="2:15" x14ac:dyDescent="0.3">
      <c r="B32" s="210" t="s">
        <v>36</v>
      </c>
      <c r="C32" s="204"/>
      <c r="D32" s="204"/>
      <c r="E32" s="204"/>
      <c r="F32" s="204"/>
      <c r="G32" t="s">
        <v>175</v>
      </c>
      <c r="H32" s="216" t="s">
        <v>36</v>
      </c>
      <c r="I32" s="204"/>
      <c r="J32" s="204"/>
      <c r="K32" s="204"/>
      <c r="L32" s="204"/>
    </row>
    <row r="33" spans="2:12" ht="2.5499999999999998" customHeight="1" x14ac:dyDescent="0.3">
      <c r="B33" s="11"/>
      <c r="C33" s="44"/>
      <c r="D33" s="44"/>
      <c r="E33" s="44"/>
      <c r="F33" s="44"/>
      <c r="H33" s="44"/>
      <c r="I33" s="44"/>
      <c r="J33" s="44"/>
      <c r="K33" s="44"/>
      <c r="L33" s="44"/>
    </row>
    <row r="34" spans="2:12" x14ac:dyDescent="0.3">
      <c r="B34" s="11" t="s">
        <v>37</v>
      </c>
      <c r="C34" s="44">
        <f>Bouwplan!C34</f>
        <v>0</v>
      </c>
      <c r="D34" s="44">
        <f>IF('Veldbonen huidig'!$B$5=1,'Veldbonen huidig'!$C$9,IF('Veldbonen huidig'!$D$9=0,'Veldbonen huidig'!$C$9,'Veldbonen huidig'!$D$9))</f>
        <v>5750</v>
      </c>
      <c r="E34" s="44">
        <f>IF('Veldbonen huidig'!$B$5=1,'Veldbonen huidig'!$C$10,IF('Veldbonen huidig'!$D$10=0,'Veldbonen huidig'!$C$10,'Veldbonen huidig'!$D$10))</f>
        <v>1170</v>
      </c>
      <c r="F34" s="44">
        <f>IF('Veldbonen huidig'!$B$5=1,'Veldbonen huidig'!$C$11,IF('Veldbonen huidig'!$D$11=0,'Veldbonen huidig'!$C$11,'Veldbonen huidig'!$D$11))</f>
        <v>135</v>
      </c>
      <c r="H34" s="44" t="s">
        <v>37</v>
      </c>
      <c r="I34" s="44">
        <f>Bouwplan!J34</f>
        <v>0</v>
      </c>
      <c r="J34" s="44">
        <f>IF('Veldbonen nieuw'!$B$5=1,'Veldbonen nieuw'!$C$10,IF('Veldbonen nieuw'!$B$5=2,IF('Veldbonen nieuw'!$D$10=0,'Veldbonen nieuw'!$C$10,'Veldbonen nieuw'!$D$10),IF('Veldbonen nieuw'!$E$10=0,'Veldbonen nieuw'!$C$10,'Veldbonen nieuw'!$E$10)))</f>
        <v>5750</v>
      </c>
      <c r="K34" s="44">
        <f>IF('Veldbonen nieuw'!$B$5=1,'Veldbonen nieuw'!$C$11,IF('Veldbonen nieuw'!$B$5=2,IF('Veldbonen nieuw'!$D$11=0,'Veldbonen nieuw'!$C$11,'Veldbonen nieuw'!$D$11),IF('Veldbonen nieuw'!$E$11=0,'Veldbonen nieuw'!$C$11,'Veldbonen nieuw'!$E$11)))</f>
        <v>1170</v>
      </c>
      <c r="L34" s="44">
        <f>IF('Veldbonen nieuw'!$B$5=1,'Veldbonen nieuw'!$C$12,IF('Veldbonen nieuw'!$B$5=2,IF('Veldbonen nieuw'!$D$12=0,'Veldbonen nieuw'!$C$12,'Veldbonen nieuw'!$D$12),IF('Veldbonen nieuw'!$E$12=0,'Veldbonen nieuw'!$C$12,'Veldbonen nieuw'!$E$12)))</f>
        <v>135</v>
      </c>
    </row>
    <row r="35" spans="2:12" ht="2.5499999999999998" customHeight="1" x14ac:dyDescent="0.3">
      <c r="B35" s="11"/>
      <c r="C35" s="44"/>
      <c r="D35" s="44"/>
      <c r="E35" s="44"/>
      <c r="F35" s="44"/>
      <c r="H35" s="44"/>
      <c r="I35" s="44">
        <f>Bouwplan!J35</f>
        <v>0</v>
      </c>
      <c r="J35" s="44"/>
      <c r="K35" s="44"/>
      <c r="L35" s="44"/>
    </row>
    <row r="36" spans="2:12" x14ac:dyDescent="0.3">
      <c r="B36" s="11" t="s">
        <v>38</v>
      </c>
      <c r="C36" s="44">
        <f>Bouwplan!C36</f>
        <v>0</v>
      </c>
      <c r="D36" s="44">
        <f>IF('Soja huidig'!$B$5=1,'Soja huidig'!$C$9,IF('Soja huidig'!$D$9=0,'Soja huidig'!$C$9,'Soja huidig'!$D$9))</f>
        <v>2750</v>
      </c>
      <c r="E36" s="44">
        <f>IF('Soja huidig'!$B$5=1,'Soja huidig'!$C$10,IF('Soja huidig'!$D$10=0,'Soja huidig'!$C$10,'Soja huidig'!$D$10))</f>
        <v>1000</v>
      </c>
      <c r="F36" s="44">
        <f>IF('Soja huidig'!$B$5=1,'Soja huidig'!$C$11,IF('Soja huidig'!$D$11=0,'Soja huidig'!$C$11,'Soja huidig'!$D$11))</f>
        <v>220</v>
      </c>
      <c r="H36" s="44" t="s">
        <v>38</v>
      </c>
      <c r="I36" s="44">
        <f>Bouwplan!J36</f>
        <v>0</v>
      </c>
      <c r="J36" s="44">
        <f>IF('Soja nieuw'!$B$5=1,'Soja nieuw'!$C$10,IF('Soja nieuw'!$B$5=2,IF('Soja nieuw'!$D$10=0,'Soja nieuw'!$C$10,'Soja nieuw'!$D$10),IF('Soja nieuw'!$E$10=0,'Soja nieuw'!$C$10,'Soja nieuw'!$E$10)))</f>
        <v>2750</v>
      </c>
      <c r="K36" s="44">
        <f>IF('Soja nieuw'!$B$5=1,'Soja nieuw'!$C$11,IF('Soja nieuw'!$B$5=2,IF('Soja nieuw'!$D$11=0,'Soja nieuw'!$C$11,'Soja nieuw'!$D$11),IF('Soja nieuw'!$E$11=0,'Soja nieuw'!$C$11,'Soja nieuw'!$E$11)))</f>
        <v>1000</v>
      </c>
      <c r="L36" s="44">
        <f>IF('Soja nieuw'!$B$5=1,'Soja nieuw'!$C$12,IF('Soja nieuw'!$B$5=2,IF('Soja nieuw'!$D$12=0,'Soja nieuw'!$C$12,'Soja nieuw'!$D$12),IF('Soja nieuw'!$E$12=0,'Soja nieuw'!$C$12,'Soja nieuw'!$E$12)))</f>
        <v>220</v>
      </c>
    </row>
    <row r="37" spans="2:12" ht="2.5499999999999998" customHeight="1" x14ac:dyDescent="0.3">
      <c r="B37" s="11"/>
      <c r="C37" s="44"/>
      <c r="D37" s="44"/>
      <c r="E37" s="44"/>
      <c r="F37" s="44"/>
      <c r="H37" s="44"/>
      <c r="I37" s="44">
        <f>Bouwplan!J37</f>
        <v>0</v>
      </c>
      <c r="J37" s="44"/>
      <c r="K37" s="44"/>
      <c r="L37" s="44"/>
    </row>
    <row r="38" spans="2:12" x14ac:dyDescent="0.3">
      <c r="B38" s="11" t="s">
        <v>39</v>
      </c>
      <c r="C38" s="44">
        <f>Bouwplan!C38</f>
        <v>0</v>
      </c>
      <c r="D38" s="44">
        <f>IF('MKS huidig'!$B$5=1,'MKS huidig'!$C$9,IF('MKS huidig'!$D$9=0,'MKS huidig'!$C$9,'MKS huidig'!$D$9))</f>
        <v>11000</v>
      </c>
      <c r="E38" s="44">
        <f>IF('MKS huidig'!$B$5=1,'MKS huidig'!$C$10,IF('MKS huidig'!$D$10=0,'MKS huidig'!$C$10,'MKS huidig'!$D$10))</f>
        <v>1150</v>
      </c>
      <c r="F38" s="44">
        <f>IF('MKS huidig'!$B$5=1,'MKS huidig'!$C$11,IF('MKS huidig'!$D$11=0,'MKS huidig'!$C$11,'MKS huidig'!$D$11))</f>
        <v>66</v>
      </c>
      <c r="H38" s="44" t="s">
        <v>39</v>
      </c>
      <c r="I38" s="44">
        <f>Bouwplan!J38</f>
        <v>0</v>
      </c>
      <c r="J38" s="44">
        <f>IF('MKS nieuw'!$B$5=1,'MKS nieuw'!$C$10,IF('MKS nieuw'!$B$5=2,IF('MKS nieuw'!$D$10=0,'MKS nieuw'!$C$10,'MKS nieuw'!$D$10),IF('MKS nieuw'!$E$10=0,'MKS nieuw'!$C$10,'MKS nieuw'!$E$10)))</f>
        <v>11000</v>
      </c>
      <c r="K38" s="44">
        <f>IF('MKS nieuw'!$B$5=1,'MKS nieuw'!$C$11,IF('MKS nieuw'!$B$5=2,IF('MKS nieuw'!$D$11=0,'MKS nieuw'!$C$11,'MKS nieuw'!$D$11),IF('MKS nieuw'!$E$11=0,'MKS nieuw'!$C$11,'MKS nieuw'!$E$11)))</f>
        <v>1150</v>
      </c>
      <c r="L38" s="44">
        <f>IF('MKS nieuw'!$B$5=1,'MKS nieuw'!$C$12,IF('MKS nieuw'!$B$5=2,IF('MKS nieuw'!$D$12=0,'MKS nieuw'!$C$12,'MKS nieuw'!$D$12),IF('MKS nieuw'!$E$12=0,'MKS nieuw'!$C$12,'MKS nieuw'!$E$12)))</f>
        <v>66</v>
      </c>
    </row>
    <row r="39" spans="2:12" ht="2.5499999999999998" customHeight="1" x14ac:dyDescent="0.3">
      <c r="B39" s="11"/>
      <c r="C39" s="44"/>
      <c r="D39" s="44"/>
      <c r="E39" s="44"/>
      <c r="F39" s="44"/>
      <c r="H39" s="44"/>
      <c r="I39" s="44">
        <f>Bouwplan!J39</f>
        <v>0</v>
      </c>
      <c r="J39" s="44"/>
      <c r="K39" s="44"/>
      <c r="L39" s="44"/>
    </row>
    <row r="40" spans="2:12" x14ac:dyDescent="0.3">
      <c r="B40" s="11" t="s">
        <v>40</v>
      </c>
      <c r="C40" s="44">
        <f>Bouwplan!C40</f>
        <v>0</v>
      </c>
      <c r="D40" s="44">
        <f>IF('CCM huidig'!$B$5=1,'CCM huidig'!$C$9,IF('CCM huidig'!$D$9=0,'CCM huidig'!$C$9,'CCM huidig'!$D$9))</f>
        <v>8800</v>
      </c>
      <c r="E40" s="44">
        <f>IF('CCM huidig'!$B$5=1,'CCM huidig'!$C$10,IF('CCM huidig'!$D$10=0,'CCM huidig'!$C$10,'CCM huidig'!$D$10))</f>
        <v>1200</v>
      </c>
      <c r="F40" s="44">
        <f>IF('CCM huidig'!$B$5=1,'CCM huidig'!$C$11,IF('CCM huidig'!$D$11=0,'CCM huidig'!$C$11,'CCM huidig'!$D$11))</f>
        <v>69</v>
      </c>
      <c r="H40" s="44" t="s">
        <v>40</v>
      </c>
      <c r="I40" s="44">
        <f>Bouwplan!J40</f>
        <v>0</v>
      </c>
      <c r="J40" s="44">
        <f>IF('CCM nieuw'!$B$5=1,'CCM nieuw'!$C$10,IF('CCM nieuw'!$B$5=2,IF('CCM nieuw'!$D$10=0,'CCM nieuw'!$C$10,'CCM nieuw'!$D$10),IF('CCM nieuw'!$E$10=0,'CCM nieuw'!$C$10,'CCM nieuw'!$E$10)))</f>
        <v>8800</v>
      </c>
      <c r="K40" s="44">
        <f>IF('CCM nieuw'!$B$5=1,'CCM nieuw'!$C$11,IF('CCM nieuw'!$B$5=2,IF('CCM nieuw'!$D$11=0,'CCM nieuw'!$C$11,'CCM nieuw'!$D$11),IF('CCM nieuw'!$E$11=0,'CCM nieuw'!$C$11,'CCM nieuw'!$E$11)))</f>
        <v>1200</v>
      </c>
      <c r="L40" s="44">
        <f>IF('CCM nieuw'!$B$5=1,'CCM nieuw'!$C$12,IF('CCM nieuw'!$B$5=2,IF('CCM nieuw'!$D$12=0,'CCM nieuw'!$C$12,'CCM nieuw'!$D$12),IF('CCM nieuw'!$E$12=0,'CCM nieuw'!$C$12,'CCM nieuw'!$E$12)))</f>
        <v>69</v>
      </c>
    </row>
    <row r="41" spans="2:12" ht="2.5499999999999998" customHeight="1" x14ac:dyDescent="0.3">
      <c r="B41" s="11"/>
      <c r="C41" s="44"/>
      <c r="D41" s="44"/>
      <c r="E41" s="44"/>
      <c r="F41" s="44"/>
      <c r="H41" s="44"/>
      <c r="I41" s="44"/>
      <c r="J41" s="44"/>
      <c r="K41" s="44"/>
      <c r="L41" s="44"/>
    </row>
    <row r="42" spans="2:12" x14ac:dyDescent="0.3">
      <c r="B42" s="11" t="str">
        <f>Bouwplan!B42</f>
        <v xml:space="preserve">Anders: </v>
      </c>
      <c r="C42" s="44">
        <f>Bouwplan!C42</f>
        <v>0</v>
      </c>
      <c r="D42" s="44">
        <f>'Anders krachtvoer huidig'!$C$8</f>
        <v>0</v>
      </c>
      <c r="E42" s="44">
        <f>'Anders krachtvoer huidig'!$C$9</f>
        <v>0</v>
      </c>
      <c r="F42" s="44">
        <f>'Anders krachtvoer huidig'!$C$10</f>
        <v>0</v>
      </c>
      <c r="H42" s="44" t="str">
        <f>Bouwplan!I42</f>
        <v xml:space="preserve">Anders: </v>
      </c>
      <c r="I42" s="44">
        <f>Bouwplan!J42</f>
        <v>0</v>
      </c>
      <c r="J42" s="44">
        <f>'Anders krachtvoer nieuw'!$C$8</f>
        <v>0</v>
      </c>
      <c r="K42" s="44">
        <f>'Anders krachtvoer nieuw'!$C$9</f>
        <v>0</v>
      </c>
      <c r="L42" s="44">
        <f>'Anders krachtvoer nieuw'!$C$10</f>
        <v>0</v>
      </c>
    </row>
    <row r="43" spans="2:12" ht="2.5499999999999998" customHeight="1" x14ac:dyDescent="0.3">
      <c r="B43" s="11"/>
      <c r="C43" s="44"/>
      <c r="D43" s="44"/>
      <c r="E43" s="44"/>
      <c r="F43" s="44"/>
      <c r="H43" s="44"/>
      <c r="I43" s="44"/>
      <c r="J43" s="44"/>
      <c r="K43" s="44"/>
      <c r="L43" s="44"/>
    </row>
    <row r="44" spans="2:12" x14ac:dyDescent="0.3">
      <c r="B44" s="214" t="s">
        <v>50</v>
      </c>
      <c r="C44" s="204">
        <f>SUM(C34:C42)</f>
        <v>0</v>
      </c>
      <c r="D44" s="204">
        <f>IF(C44=0,0,SUMPRODUCT(C34:C42,D34:D42)/C44)</f>
        <v>0</v>
      </c>
      <c r="E44" s="204">
        <f>IF(D44=0,0,SUMPRODUCT(C34:C42,D34:D42,E34:E42)/SUMPRODUCT(C34:C40,D34:D40))</f>
        <v>0</v>
      </c>
      <c r="F44" s="204">
        <f>IF(D44=0,0,SUMPRODUCT(C34:C42,D34:D42,F34:F42)/SUMPRODUCT(C34:C40,D34:D40))</f>
        <v>0</v>
      </c>
      <c r="H44" s="215" t="s">
        <v>50</v>
      </c>
      <c r="I44" s="204">
        <f>SUM(I34:I42)</f>
        <v>0</v>
      </c>
      <c r="J44" s="204">
        <f>IF(I44=0,0,SUMPRODUCT(I34:I42,J34:J42)/I44)</f>
        <v>0</v>
      </c>
      <c r="K44" s="204">
        <f>IF(J44=0,0,SUMPRODUCT(I34:I42,J34:J42,K34:K42)/SUMPRODUCT(I34:I40,J34:J40))</f>
        <v>0</v>
      </c>
      <c r="L44" s="204">
        <f>IF(J44=0,0,SUMPRODUCT(I34:I42,J34:J42,L34:L42)/SUMPRODUCT(I34:I40,J34:J40))</f>
        <v>0</v>
      </c>
    </row>
    <row r="45" spans="2:12" ht="7.5" customHeight="1" x14ac:dyDescent="0.3">
      <c r="B45" s="11"/>
      <c r="C45" s="44"/>
      <c r="D45" s="44"/>
      <c r="E45" s="44"/>
      <c r="F45" s="44"/>
      <c r="H45" s="44"/>
      <c r="I45" s="44"/>
      <c r="J45" s="44"/>
      <c r="K45" s="44"/>
      <c r="L45" s="44"/>
    </row>
    <row r="46" spans="2:12" x14ac:dyDescent="0.3">
      <c r="B46" s="210" t="s">
        <v>8</v>
      </c>
      <c r="C46" s="204">
        <f>C30+C44</f>
        <v>0</v>
      </c>
      <c r="D46" s="204">
        <f>IF(C46=0,0,((C30*D30)+(C44*D44))/C46)</f>
        <v>0</v>
      </c>
      <c r="E46" s="204">
        <f>IF(D46=0,0,((D30*E30)+(D44*E44))/D46)</f>
        <v>0</v>
      </c>
      <c r="F46" s="204">
        <f>IF(D46=0,0,((D30*F30)+(D44*F44))/D46)</f>
        <v>0</v>
      </c>
      <c r="H46" s="216" t="s">
        <v>8</v>
      </c>
      <c r="I46" s="204">
        <f>I30+I44</f>
        <v>0</v>
      </c>
      <c r="J46" s="204">
        <f>IF(I46=0,0,((I30*J30)+(I44*J44))/I46)</f>
        <v>0</v>
      </c>
      <c r="K46" s="204">
        <f>IF(J46=0,0,((J30*K30)+(J44*K44))/J46)</f>
        <v>0</v>
      </c>
      <c r="L46" s="204">
        <f>IF(J46=0,0,((J30*L30)+(J44*L44))/J46)</f>
        <v>0</v>
      </c>
    </row>
  </sheetData>
  <sheetProtection sheet="1" objects="1" scenarios="1" selectLockedCells="1"/>
  <mergeCells count="3">
    <mergeCell ref="B5:F6"/>
    <mergeCell ref="H5:L6"/>
    <mergeCell ref="B2:I3"/>
  </mergeCells>
  <conditionalFormatting sqref="C10:F10">
    <cfRule type="expression" dxfId="130" priority="75">
      <formula>$C$10=0</formula>
    </cfRule>
  </conditionalFormatting>
  <conditionalFormatting sqref="I10:L10">
    <cfRule type="expression" dxfId="129" priority="22">
      <formula>$I$10=0</formula>
    </cfRule>
  </conditionalFormatting>
  <conditionalFormatting sqref="C12:F12">
    <cfRule type="expression" dxfId="128" priority="38">
      <formula>$C$12=0</formula>
    </cfRule>
  </conditionalFormatting>
  <conditionalFormatting sqref="C14:F14">
    <cfRule type="expression" dxfId="127" priority="33">
      <formula>$C$14=0</formula>
    </cfRule>
  </conditionalFormatting>
  <conditionalFormatting sqref="C16:F16">
    <cfRule type="expression" dxfId="126" priority="32">
      <formula>$C$16=0</formula>
    </cfRule>
  </conditionalFormatting>
  <conditionalFormatting sqref="C18:F18">
    <cfRule type="expression" dxfId="125" priority="31">
      <formula>$C$18=0</formula>
    </cfRule>
  </conditionalFormatting>
  <conditionalFormatting sqref="C20:F20">
    <cfRule type="expression" dxfId="124" priority="30">
      <formula>$C$20=0</formula>
    </cfRule>
  </conditionalFormatting>
  <conditionalFormatting sqref="C22:F22">
    <cfRule type="expression" dxfId="123" priority="29">
      <formula>$C$22=0</formula>
    </cfRule>
  </conditionalFormatting>
  <conditionalFormatting sqref="C24:F24">
    <cfRule type="expression" dxfId="122" priority="28">
      <formula>$C$24=0</formula>
    </cfRule>
  </conditionalFormatting>
  <conditionalFormatting sqref="C26:F26">
    <cfRule type="expression" dxfId="121" priority="27">
      <formula>$C$26=0</formula>
    </cfRule>
  </conditionalFormatting>
  <conditionalFormatting sqref="C34:F34">
    <cfRule type="expression" dxfId="120" priority="26">
      <formula>$C$34=0</formula>
    </cfRule>
  </conditionalFormatting>
  <conditionalFormatting sqref="C36:F36">
    <cfRule type="expression" dxfId="119" priority="25">
      <formula>$C$36=0</formula>
    </cfRule>
  </conditionalFormatting>
  <conditionalFormatting sqref="C38:F38">
    <cfRule type="expression" dxfId="118" priority="24">
      <formula>$C$38=0</formula>
    </cfRule>
  </conditionalFormatting>
  <conditionalFormatting sqref="C40:F40">
    <cfRule type="expression" dxfId="117" priority="23">
      <formula>$C$40=0</formula>
    </cfRule>
  </conditionalFormatting>
  <conditionalFormatting sqref="I12:L12">
    <cfRule type="expression" dxfId="116" priority="21">
      <formula>$I$12=0</formula>
    </cfRule>
  </conditionalFormatting>
  <conditionalFormatting sqref="I14:L14">
    <cfRule type="expression" dxfId="115" priority="20">
      <formula>$I$14=0</formula>
    </cfRule>
  </conditionalFormatting>
  <conditionalFormatting sqref="I16:L16">
    <cfRule type="expression" dxfId="114" priority="19">
      <formula>$I$16=0</formula>
    </cfRule>
  </conditionalFormatting>
  <conditionalFormatting sqref="I18:L18">
    <cfRule type="expression" dxfId="113" priority="18">
      <formula>$I$18=0</formula>
    </cfRule>
  </conditionalFormatting>
  <conditionalFormatting sqref="I20:L20">
    <cfRule type="expression" dxfId="112" priority="17">
      <formula>$I$20=0</formula>
    </cfRule>
  </conditionalFormatting>
  <conditionalFormatting sqref="I22:L22">
    <cfRule type="expression" dxfId="111" priority="16">
      <formula>$I$22=0</formula>
    </cfRule>
  </conditionalFormatting>
  <conditionalFormatting sqref="I24:L24">
    <cfRule type="expression" dxfId="110" priority="15">
      <formula>$I$24=0</formula>
    </cfRule>
  </conditionalFormatting>
  <conditionalFormatting sqref="I26:L26">
    <cfRule type="expression" dxfId="109" priority="14">
      <formula>$I$26=0</formula>
    </cfRule>
  </conditionalFormatting>
  <conditionalFormatting sqref="I34:L34">
    <cfRule type="expression" dxfId="108" priority="12">
      <formula>$I$34=0</formula>
    </cfRule>
  </conditionalFormatting>
  <conditionalFormatting sqref="I36:L36">
    <cfRule type="expression" dxfId="107" priority="11">
      <formula>$I$36=0</formula>
    </cfRule>
  </conditionalFormatting>
  <conditionalFormatting sqref="I38:L38">
    <cfRule type="expression" dxfId="106" priority="10">
      <formula>$I$38=0</formula>
    </cfRule>
  </conditionalFormatting>
  <conditionalFormatting sqref="I40:L40">
    <cfRule type="expression" dxfId="105" priority="9">
      <formula>$I$40=0</formula>
    </cfRule>
  </conditionalFormatting>
  <conditionalFormatting sqref="C28">
    <cfRule type="expression" dxfId="104" priority="8">
      <formula>$C$26=0</formula>
    </cfRule>
  </conditionalFormatting>
  <conditionalFormatting sqref="I28">
    <cfRule type="expression" dxfId="103" priority="7">
      <formula>$I$26=0</formula>
    </cfRule>
  </conditionalFormatting>
  <conditionalFormatting sqref="C42">
    <cfRule type="expression" dxfId="102" priority="6">
      <formula>$C$40=0</formula>
    </cfRule>
  </conditionalFormatting>
  <conditionalFormatting sqref="I42">
    <cfRule type="expression" dxfId="101" priority="5">
      <formula>$I$40=0</formula>
    </cfRule>
  </conditionalFormatting>
  <conditionalFormatting sqref="C28:F28">
    <cfRule type="expression" dxfId="100" priority="4">
      <formula>$C$28=0</formula>
    </cfRule>
  </conditionalFormatting>
  <conditionalFormatting sqref="C42:F42">
    <cfRule type="expression" dxfId="99" priority="3">
      <formula>$C$42=0</formula>
    </cfRule>
  </conditionalFormatting>
  <conditionalFormatting sqref="I28:L28">
    <cfRule type="expression" dxfId="98" priority="2">
      <formula>$I$28=0</formula>
    </cfRule>
  </conditionalFormatting>
  <conditionalFormatting sqref="I42:L42">
    <cfRule type="expression" dxfId="97" priority="1">
      <formula>$I$42=0</formula>
    </cfRule>
  </conditionalFormatting>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BAEA1E8FA3C104BA97897ACE459FC33" ma:contentTypeVersion="16" ma:contentTypeDescription="Een nieuw document maken." ma:contentTypeScope="" ma:versionID="cd5af66571936a5cd5cbf96b71f60b4d">
  <xsd:schema xmlns:xsd="http://www.w3.org/2001/XMLSchema" xmlns:xs="http://www.w3.org/2001/XMLSchema" xmlns:p="http://schemas.microsoft.com/office/2006/metadata/properties" xmlns:ns2="9499295c-eeb1-4ce3-8f8f-3603893e48f7" xmlns:ns3="e5e792f8-de54-4e5e-9f24-5caa05e1fec3" targetNamespace="http://schemas.microsoft.com/office/2006/metadata/properties" ma:root="true" ma:fieldsID="ed4da0b0bbebba994cad2ebade054235" ns2:_="" ns3:_="">
    <xsd:import namespace="9499295c-eeb1-4ce3-8f8f-3603893e48f7"/>
    <xsd:import namespace="e5e792f8-de54-4e5e-9f24-5caa05e1fec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99295c-eeb1-4ce3-8f8f-3603893e48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Afbeeldingtags" ma:readOnly="false" ma:fieldId="{5cf76f15-5ced-4ddc-b409-7134ff3c332f}" ma:taxonomyMulti="true" ma:sspId="4e04b31b-0f5a-4359-84b9-937cee2b4e6f"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5e792f8-de54-4e5e-9f24-5caa05e1fec3" elementFormDefault="qualified">
    <xsd:import namespace="http://schemas.microsoft.com/office/2006/documentManagement/types"/>
    <xsd:import namespace="http://schemas.microsoft.com/office/infopath/2007/PartnerControls"/>
    <xsd:element name="SharedWithUsers" ma:index="14"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Gedeeld met details" ma:internalName="SharedWithDetails" ma:readOnly="true">
      <xsd:simpleType>
        <xsd:restriction base="dms:Note">
          <xsd:maxLength value="255"/>
        </xsd:restriction>
      </xsd:simpleType>
    </xsd:element>
    <xsd:element name="TaxCatchAll" ma:index="22" nillable="true" ma:displayName="Taxonomy Catch All Column" ma:hidden="true" ma:list="{a454156c-00b8-4048-a4c6-5e3a06a7ac91}" ma:internalName="TaxCatchAll" ma:showField="CatchAllData" ma:web="e5e792f8-de54-4e5e-9f24-5caa05e1fec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499295c-eeb1-4ce3-8f8f-3603893e48f7">
      <Terms xmlns="http://schemas.microsoft.com/office/infopath/2007/PartnerControls"/>
    </lcf76f155ced4ddcb4097134ff3c332f>
    <TaxCatchAll xmlns="e5e792f8-de54-4e5e-9f24-5caa05e1fec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B M D A A B Q S w M E F A A C A A g A 4 V V 5 V K N 9 m H W j A A A A 9 g A A A B I A H A B D b 2 5 m a W c v U G F j a 2 F n Z S 5 4 b W w g o h g A K K A U A A A A A A A A A A A A A A A A A A A A A A A A A A A A h Y + x D o I w G I R f h X S n L X U x 5 K c O r m B M T I x r U y o 0 w o + h x f J u D j 6 S r y B G U T f H u / s u u b t f b 7 A a 2 y a 6 m N 7 Z D j O S U E 4 i g 7 o r L V Y Z G f w x X p K V h K 3 S J 1 W Z a I L R p a O z G a m 9 P 6 e M h R B o W N C u r 5 j g P G G H I t / p 2 r Q q t u i 8 Q m 3 I p 1 X + b x E J + 9 c Y K W j C B R V 8 2 g R s N q G w + A X E l D 3 T H x P W Q + O H 3 k h s 4 k 0 O b J b A 3 h / k A 1 B L A w Q U A A I A C A D h V X l U 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4 V V 5 V C i K R 7 g O A A A A E Q A A A B M A H A B G b 3 J t d W x h c y 9 T Z W N 0 a W 9 u M S 5 t I K I Y A C i g F A A A A A A A A A A A A A A A A A A A A A A A A A A A A C t O T S 7 J z M 9 T C I b Q h t Y A U E s B A i 0 A F A A C A A g A 4 V V 5 V K N 9 m H W j A A A A 9 g A A A B I A A A A A A A A A A A A A A A A A A A A A A E N v b m Z p Z y 9 Q Y W N r Y W d l L n h t b F B L A Q I t A B Q A A g A I A O F V e V Q P y u m r p A A A A O k A A A A T A A A A A A A A A A A A A A A A A O 8 A A A B b Q 2 9 u d G V u d F 9 U e X B l c 1 0 u e G 1 s U E s B A i 0 A F A A C A A g A 4 V V 5 V C i K R 7 g O A A A A E Q A A A B M A A A A A A A A A A A A A A A A A 4 A E A A E Z v c m 1 1 b G F z L 1 N l Y 3 R p b 2 4 x L m 1 Q S w U G A A A A A A M A A w D C A A A A O w 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G l R l L O 2 x j d G h z i X O n n A O L Y A A A A A A g A A A A A A E G Y A A A A B A A A g A A A A 8 a 1 U + x q C S H t W E 8 8 6 i 7 Y B G x U D P m g k i 2 Y V f y l T o a m E Q 6 0 A A A A A D o A A A A A C A A A g A A A A o Q W m M d I H 8 6 U / O O j r U Z 4 + Z f N W A R M o l K 6 f / O 8 M + C H / Z 0 J Q A A A A a O e i 4 7 B c W 7 + v B v 1 E w Y y g J j s u p s k x Z z M h P K x m i d e d 1 L T j w W k v R 6 Z b C c 0 6 m u q k e V H v x O 3 J N a 6 t 7 X 4 1 P R J 7 Z D v z G o P h E P n 2 d y J I / y K g Z V v f I T V A A A A A k q v t G 8 j i 1 W 2 6 k K 2 i k e f S Q g a o V 2 t Y L Z C w 1 R R B q x X x n m J f 2 g Z p S C x x Z p X 7 m V I x 3 Q O r R B + + D T P l W h 6 L A u y t + F J y w w = = < / D a t a M a s h u p > 
</file>

<file path=customXml/itemProps1.xml><?xml version="1.0" encoding="utf-8"?>
<ds:datastoreItem xmlns:ds="http://schemas.openxmlformats.org/officeDocument/2006/customXml" ds:itemID="{07BFD945-3D7E-4A88-A733-0BA4CAFDF8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499295c-eeb1-4ce3-8f8f-3603893e48f7"/>
    <ds:schemaRef ds:uri="e5e792f8-de54-4e5e-9f24-5caa05e1fec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03F6F3-3E4C-4D2B-BE2E-302D30B7D23F}">
  <ds:schemaRefs>
    <ds:schemaRef ds:uri="e5e792f8-de54-4e5e-9f24-5caa05e1fec3"/>
    <ds:schemaRef ds:uri="http://www.w3.org/XML/1998/namespace"/>
    <ds:schemaRef ds:uri="http://schemas.microsoft.com/office/2006/metadata/properties"/>
    <ds:schemaRef ds:uri="http://purl.org/dc/terms/"/>
    <ds:schemaRef ds:uri="http://schemas.microsoft.com/office/infopath/2007/PartnerControls"/>
    <ds:schemaRef ds:uri="http://schemas.openxmlformats.org/package/2006/metadata/core-properties"/>
    <ds:schemaRef ds:uri="http://schemas.microsoft.com/office/2006/documentManagement/types"/>
    <ds:schemaRef ds:uri="9499295c-eeb1-4ce3-8f8f-3603893e48f7"/>
    <ds:schemaRef ds:uri="http://purl.org/dc/dcmitype/"/>
    <ds:schemaRef ds:uri="http://purl.org/dc/elements/1.1/"/>
  </ds:schemaRefs>
</ds:datastoreItem>
</file>

<file path=customXml/itemProps3.xml><?xml version="1.0" encoding="utf-8"?>
<ds:datastoreItem xmlns:ds="http://schemas.openxmlformats.org/officeDocument/2006/customXml" ds:itemID="{5485FC24-1780-40BE-8F71-B9E6DACA2766}">
  <ds:schemaRefs>
    <ds:schemaRef ds:uri="http://schemas.microsoft.com/sharepoint/v3/contenttype/forms"/>
  </ds:schemaRefs>
</ds:datastoreItem>
</file>

<file path=customXml/itemProps4.xml><?xml version="1.0" encoding="utf-8"?>
<ds:datastoreItem xmlns:ds="http://schemas.openxmlformats.org/officeDocument/2006/customXml" ds:itemID="{DF884168-0D56-4074-B8C6-410A7181B17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44</vt:i4>
      </vt:variant>
    </vt:vector>
  </HeadingPairs>
  <TitlesOfParts>
    <vt:vector size="44" baseType="lpstr">
      <vt:lpstr>Inleiding</vt:lpstr>
      <vt:lpstr>Extra land</vt:lpstr>
      <vt:lpstr>Bouwplan</vt:lpstr>
      <vt:lpstr>Voer</vt:lpstr>
      <vt:lpstr>Melkproductie</vt:lpstr>
      <vt:lpstr>Toegerekende kosten koe</vt:lpstr>
      <vt:lpstr>Resultaat</vt:lpstr>
      <vt:lpstr>Fosfaatrechten</vt:lpstr>
      <vt:lpstr>Toelichting voerpositie</vt:lpstr>
      <vt:lpstr>Ruwvoer aankoop</vt:lpstr>
      <vt:lpstr>Ruwvoer besparing&amp;verkoop</vt:lpstr>
      <vt:lpstr>Krachtvoer aankoop</vt:lpstr>
      <vt:lpstr>Krachtvoer besparing</vt:lpstr>
      <vt:lpstr>Grasland (blijvend) huidig</vt:lpstr>
      <vt:lpstr>Grasland (tijdelijk) huidig</vt:lpstr>
      <vt:lpstr>Grasklaver huidig</vt:lpstr>
      <vt:lpstr>Kruidenrijk grasland huidig</vt:lpstr>
      <vt:lpstr>Luzerne huidig</vt:lpstr>
      <vt:lpstr>Natuurgras huidig</vt:lpstr>
      <vt:lpstr>Maisland huidig</vt:lpstr>
      <vt:lpstr>Voederbieten huidig</vt:lpstr>
      <vt:lpstr>Sorghum huidig</vt:lpstr>
      <vt:lpstr>Anders ruwvoer huidig</vt:lpstr>
      <vt:lpstr>Veldbonen huidig</vt:lpstr>
      <vt:lpstr>Soja huidig</vt:lpstr>
      <vt:lpstr>MKS huidig</vt:lpstr>
      <vt:lpstr>CCM huidig</vt:lpstr>
      <vt:lpstr>Anders krachtvoer huidig</vt:lpstr>
      <vt:lpstr>Grasland (blijvend) nieuw</vt:lpstr>
      <vt:lpstr>Grasland (tijdelijk) nieuw</vt:lpstr>
      <vt:lpstr>Grasklaver nieuw</vt:lpstr>
      <vt:lpstr>Kruidenrijk grasland nieuw</vt:lpstr>
      <vt:lpstr>Luzerne nieuw</vt:lpstr>
      <vt:lpstr>Natuurgras nieuw</vt:lpstr>
      <vt:lpstr>Maisland nieuw</vt:lpstr>
      <vt:lpstr>Voederbieten nieuw</vt:lpstr>
      <vt:lpstr>Sorghum nieuw</vt:lpstr>
      <vt:lpstr>Anders ruwvoer nieuw</vt:lpstr>
      <vt:lpstr>Veldbonen nieuw</vt:lpstr>
      <vt:lpstr>Soja nieuw</vt:lpstr>
      <vt:lpstr>MKS nieuw</vt:lpstr>
      <vt:lpstr>CCM nieuw</vt:lpstr>
      <vt:lpstr>Anders krachtvoer nieuw</vt:lpstr>
      <vt:lpstr>Gegevens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koen smulders</dc:creator>
  <cp:keywords/>
  <dc:description/>
  <cp:lastModifiedBy>christiaan bikker</cp:lastModifiedBy>
  <cp:revision/>
  <cp:lastPrinted>2022-06-12T18:38:01Z</cp:lastPrinted>
  <dcterms:created xsi:type="dcterms:W3CDTF">2022-03-25T09:19:00Z</dcterms:created>
  <dcterms:modified xsi:type="dcterms:W3CDTF">2022-11-09T13:18:32Z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0x0101007BAEA1E8FA3C104BA97897ACE459FC33</vt:lpwstr>
  </property>
  <property fmtid="{D5CDD505-2E9C-101B-9397-08002B2CF9AE}" pid="3" name="MediaServiceImageTags">
    <vt:lpwstr/>
  </property>
</Properties>
</file>