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https://haskennisplein.sharepoint.com/sites/20400317/Gedeelde documenten/General/Rekentool/"/>
    </mc:Choice>
  </mc:AlternateContent>
  <xr:revisionPtr revIDLastSave="59" documentId="14_{35A7959D-B57B-46C9-828E-ED9DFDEB4780}" xr6:coauthVersionLast="45" xr6:coauthVersionMax="47" xr10:uidLastSave="{F3E8D65E-E6BF-4B55-AEEC-6E34D224421E}"/>
  <bookViews>
    <workbookView xWindow="20370" yWindow="-120" windowWidth="29040" windowHeight="15840" tabRatio="843" xr2:uid="{4583AD70-1327-437F-938F-4A9E3F454BA0}"/>
  </bookViews>
  <sheets>
    <sheet name="Voorblad rekentool" sheetId="21" r:id="rId1"/>
    <sheet name="Bedrijfsgegevens" sheetId="1" r:id="rId2"/>
    <sheet name="Winst en verliesrekening" sheetId="2" r:id="rId3"/>
    <sheet name="Voer" sheetId="9" r:id="rId4"/>
    <sheet name="Mest" sheetId="10" r:id="rId5"/>
    <sheet name="Transformatieblad" sheetId="11" r:id="rId6"/>
    <sheet name="Maatregelen" sheetId="5" r:id="rId7"/>
    <sheet name="Bedrijfsgegevens NIL" sheetId="18" r:id="rId8"/>
    <sheet name="Voer NIL" sheetId="15" r:id="rId9"/>
    <sheet name="Mest NIL" sheetId="16" r:id="rId10"/>
    <sheet name="Winst en verlies NIL" sheetId="19" r:id="rId11"/>
    <sheet name="Samenvattende tabel" sheetId="20" r:id="rId12"/>
    <sheet name="Toelichting maatregelen" sheetId="13" r:id="rId13"/>
    <sheet name="Financiering grond" sheetId="14" r:id="rId14"/>
    <sheet name="Selectievakken" sheetId="8" r:id="rId1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4" i="15" l="1"/>
  <c r="I13" i="15"/>
  <c r="I14" i="15"/>
  <c r="I15" i="15"/>
  <c r="I4" i="15"/>
  <c r="I5" i="15"/>
  <c r="I6" i="15"/>
  <c r="I7" i="15"/>
  <c r="I8" i="15"/>
  <c r="I9" i="15"/>
  <c r="I10" i="15"/>
  <c r="I11" i="15"/>
  <c r="I12" i="15"/>
  <c r="F22" i="9"/>
  <c r="F23" i="9"/>
  <c r="F21" i="9"/>
  <c r="G21" i="9" s="1"/>
  <c r="D24" i="16"/>
  <c r="C6" i="9"/>
  <c r="F29" i="9"/>
  <c r="F30" i="9"/>
  <c r="F19" i="9"/>
  <c r="F20" i="9"/>
  <c r="F24" i="9"/>
  <c r="F25" i="9"/>
  <c r="F26" i="9"/>
  <c r="F27" i="9"/>
  <c r="F28" i="9"/>
  <c r="F18" i="9"/>
  <c r="I3" i="15"/>
  <c r="C17" i="10"/>
  <c r="C336" i="13"/>
  <c r="F358" i="13"/>
  <c r="I26" i="5"/>
  <c r="I27" i="5"/>
  <c r="I28" i="5"/>
  <c r="I29" i="5"/>
  <c r="I30" i="5"/>
  <c r="I31" i="5"/>
  <c r="I32" i="5"/>
  <c r="G141" i="13"/>
  <c r="E258" i="13" l="1"/>
  <c r="A22" i="15"/>
  <c r="C20" i="2" l="1"/>
  <c r="E20" i="2"/>
  <c r="D21" i="2"/>
  <c r="D35" i="2" s="1"/>
  <c r="B21" i="2"/>
  <c r="G19" i="9"/>
  <c r="G20" i="9"/>
  <c r="G22" i="9"/>
  <c r="C15" i="10" s="1"/>
  <c r="G23" i="9"/>
  <c r="G24" i="9"/>
  <c r="G25" i="9"/>
  <c r="G26" i="9"/>
  <c r="G27" i="9"/>
  <c r="G28" i="9"/>
  <c r="G29" i="9"/>
  <c r="G30" i="9"/>
  <c r="G18" i="9"/>
  <c r="D13" i="15"/>
  <c r="E13" i="15"/>
  <c r="C13" i="15"/>
  <c r="E4" i="15"/>
  <c r="B334" i="13"/>
  <c r="B188" i="13"/>
  <c r="B187" i="13"/>
  <c r="B186" i="13"/>
  <c r="B185" i="13"/>
  <c r="B10" i="18" l="1"/>
  <c r="F21" i="11"/>
  <c r="F20" i="11"/>
  <c r="F19" i="11"/>
  <c r="F22" i="11" s="1"/>
  <c r="F25" i="11" s="1"/>
  <c r="E53" i="19" s="1"/>
  <c r="B42" i="11"/>
  <c r="D42" i="11" s="1"/>
  <c r="E29" i="11" l="1"/>
  <c r="E30" i="11"/>
  <c r="E31" i="11"/>
  <c r="E28" i="11"/>
  <c r="E32" i="11" l="1"/>
  <c r="B26" i="9"/>
  <c r="B6" i="19"/>
  <c r="D25" i="16"/>
  <c r="C48" i="19"/>
  <c r="C45" i="19"/>
  <c r="C47" i="19"/>
  <c r="E45" i="19"/>
  <c r="B17" i="1"/>
  <c r="A28" i="15"/>
  <c r="A20" i="15"/>
  <c r="B20" i="15"/>
  <c r="C20" i="15"/>
  <c r="A21" i="15"/>
  <c r="C21" i="15"/>
  <c r="B22" i="15"/>
  <c r="C22" i="15"/>
  <c r="A23" i="15"/>
  <c r="C23" i="15"/>
  <c r="A24" i="15"/>
  <c r="B24" i="15"/>
  <c r="C24" i="15"/>
  <c r="A31" i="15"/>
  <c r="C31" i="15"/>
  <c r="D31" i="15"/>
  <c r="A32" i="15"/>
  <c r="C32" i="15"/>
  <c r="A33" i="15"/>
  <c r="C33" i="15"/>
  <c r="D21" i="9"/>
  <c r="D22" i="15" s="1"/>
  <c r="G208" i="13"/>
  <c r="G159" i="13"/>
  <c r="G13" i="2"/>
  <c r="I13" i="19" s="1"/>
  <c r="B13" i="19"/>
  <c r="C13" i="19"/>
  <c r="N16" i="5"/>
  <c r="G43" i="2" l="1"/>
  <c r="I45" i="19" s="1"/>
  <c r="G45" i="2"/>
  <c r="I47" i="19" s="1"/>
  <c r="B28" i="15"/>
  <c r="C28" i="15" s="1"/>
  <c r="E52" i="5"/>
  <c r="I33" i="5"/>
  <c r="I34" i="5"/>
  <c r="I36" i="5"/>
  <c r="I38" i="5"/>
  <c r="I39" i="5"/>
  <c r="I40" i="5"/>
  <c r="I41" i="5"/>
  <c r="I42" i="5"/>
  <c r="I43" i="5"/>
  <c r="I44" i="5"/>
  <c r="I50" i="5"/>
  <c r="I52" i="5"/>
  <c r="I55" i="5"/>
  <c r="I56" i="5"/>
  <c r="I57" i="5"/>
  <c r="I61" i="5"/>
  <c r="I65" i="5"/>
  <c r="I67" i="5"/>
  <c r="I68" i="5"/>
  <c r="I69" i="5"/>
  <c r="I71" i="5"/>
  <c r="I75" i="5"/>
  <c r="I19" i="5"/>
  <c r="I10" i="5"/>
  <c r="I11" i="5"/>
  <c r="I12" i="5"/>
  <c r="I13" i="5"/>
  <c r="I15" i="5"/>
  <c r="I7" i="5"/>
  <c r="I8" i="5"/>
  <c r="I6" i="5"/>
  <c r="A14" i="15"/>
  <c r="C11" i="11"/>
  <c r="B16" i="11" s="1"/>
  <c r="E14" i="15"/>
  <c r="D14" i="15"/>
  <c r="B19" i="18"/>
  <c r="B18" i="18"/>
  <c r="A6" i="15"/>
  <c r="C2" i="19"/>
  <c r="I2" i="19"/>
  <c r="B3" i="19"/>
  <c r="I3" i="19"/>
  <c r="J3" i="19"/>
  <c r="K3" i="19"/>
  <c r="B4" i="19"/>
  <c r="C4" i="19"/>
  <c r="B5" i="19"/>
  <c r="C5" i="19"/>
  <c r="C6" i="19"/>
  <c r="B7" i="19"/>
  <c r="C7" i="19"/>
  <c r="E7" i="19" s="1"/>
  <c r="B9" i="19"/>
  <c r="B10" i="19"/>
  <c r="B11" i="19"/>
  <c r="C11" i="19"/>
  <c r="B12" i="19"/>
  <c r="B14" i="19"/>
  <c r="C14" i="19"/>
  <c r="B15" i="19"/>
  <c r="C15" i="19"/>
  <c r="B16" i="19"/>
  <c r="C16" i="19"/>
  <c r="B17" i="19"/>
  <c r="C17" i="19"/>
  <c r="B18" i="19"/>
  <c r="C18" i="19"/>
  <c r="B19" i="19"/>
  <c r="C19" i="19"/>
  <c r="B21" i="19"/>
  <c r="B22" i="19"/>
  <c r="B23" i="19"/>
  <c r="C23" i="19"/>
  <c r="B24" i="19"/>
  <c r="C24" i="19"/>
  <c r="E24" i="19" s="1"/>
  <c r="B25" i="19"/>
  <c r="C25" i="19"/>
  <c r="E25" i="19" s="1"/>
  <c r="B26" i="19"/>
  <c r="C26" i="19"/>
  <c r="E26" i="19" s="1"/>
  <c r="B27" i="19"/>
  <c r="C27" i="19"/>
  <c r="E27" i="19" s="1"/>
  <c r="B28" i="19"/>
  <c r="C28" i="19"/>
  <c r="B29" i="19"/>
  <c r="C29" i="19"/>
  <c r="B30" i="19"/>
  <c r="C30" i="19"/>
  <c r="E30" i="19" s="1"/>
  <c r="B31" i="19"/>
  <c r="C31" i="19"/>
  <c r="E31" i="19" s="1"/>
  <c r="B32" i="19"/>
  <c r="C32" i="19"/>
  <c r="E32" i="19" s="1"/>
  <c r="B33" i="19"/>
  <c r="C33" i="19"/>
  <c r="E33" i="19" s="1"/>
  <c r="B35" i="19"/>
  <c r="B36" i="19"/>
  <c r="B37" i="19"/>
  <c r="C37" i="19"/>
  <c r="E37" i="19" s="1"/>
  <c r="B38" i="19"/>
  <c r="C38" i="19"/>
  <c r="E38" i="19" s="1"/>
  <c r="B40" i="19"/>
  <c r="C40" i="19"/>
  <c r="B41" i="19"/>
  <c r="D14" i="11"/>
  <c r="D15" i="11"/>
  <c r="D13" i="11"/>
  <c r="D16" i="11" l="1"/>
  <c r="E28" i="19" s="1"/>
  <c r="B17" i="18"/>
  <c r="C21" i="16" s="1"/>
  <c r="A15" i="15"/>
  <c r="F31" i="5"/>
  <c r="G31" i="5"/>
  <c r="H31" i="5"/>
  <c r="E31" i="5"/>
  <c r="E62" i="5"/>
  <c r="F62" i="5"/>
  <c r="G62" i="5"/>
  <c r="H62" i="5"/>
  <c r="E63" i="5"/>
  <c r="F63" i="5"/>
  <c r="G63" i="5"/>
  <c r="H63" i="5"/>
  <c r="E64" i="5"/>
  <c r="F64" i="5"/>
  <c r="G64" i="5"/>
  <c r="H64" i="5"/>
  <c r="E65" i="5"/>
  <c r="F65" i="5"/>
  <c r="G65" i="5"/>
  <c r="H65" i="5"/>
  <c r="E61" i="5"/>
  <c r="E48" i="5"/>
  <c r="F48" i="5"/>
  <c r="G48" i="5"/>
  <c r="H48" i="5"/>
  <c r="E49" i="5"/>
  <c r="E50" i="5"/>
  <c r="F50" i="5"/>
  <c r="E51" i="5"/>
  <c r="E53" i="5"/>
  <c r="F53" i="5"/>
  <c r="G53" i="5"/>
  <c r="H53" i="5"/>
  <c r="E54" i="5"/>
  <c r="F54" i="5"/>
  <c r="G54" i="5"/>
  <c r="H54" i="5"/>
  <c r="E55" i="5"/>
  <c r="F55" i="5"/>
  <c r="E56" i="5"/>
  <c r="F56" i="5"/>
  <c r="E57" i="5"/>
  <c r="E58" i="5"/>
  <c r="F58" i="5"/>
  <c r="G58" i="5"/>
  <c r="H58" i="5"/>
  <c r="G47" i="5"/>
  <c r="E47" i="5"/>
  <c r="F47" i="5"/>
  <c r="F394" i="13"/>
  <c r="E394" i="13"/>
  <c r="F294" i="13"/>
  <c r="G57" i="5" s="1"/>
  <c r="E294" i="13"/>
  <c r="F57" i="5" s="1"/>
  <c r="G234" i="13"/>
  <c r="H47" i="5" s="1"/>
  <c r="I47" i="5" s="1"/>
  <c r="E24" i="5"/>
  <c r="F25" i="5"/>
  <c r="G25" i="5"/>
  <c r="E26" i="5"/>
  <c r="F26" i="5"/>
  <c r="G26" i="5"/>
  <c r="H26" i="5"/>
  <c r="E27" i="5"/>
  <c r="F27" i="5"/>
  <c r="G27" i="5"/>
  <c r="H27" i="5"/>
  <c r="E28" i="5"/>
  <c r="F28" i="5"/>
  <c r="G28" i="5"/>
  <c r="H28" i="5"/>
  <c r="E29" i="5"/>
  <c r="F29" i="5"/>
  <c r="E30" i="5"/>
  <c r="F30" i="5"/>
  <c r="G30" i="5"/>
  <c r="H30" i="5"/>
  <c r="E32" i="5"/>
  <c r="F32" i="5"/>
  <c r="G32" i="5"/>
  <c r="H32" i="5"/>
  <c r="E33" i="5"/>
  <c r="E19" i="5"/>
  <c r="E15" i="5"/>
  <c r="F15" i="5"/>
  <c r="G15" i="5"/>
  <c r="E16" i="5"/>
  <c r="E17" i="5"/>
  <c r="F17" i="5"/>
  <c r="G17" i="5"/>
  <c r="H17" i="5"/>
  <c r="E18" i="5"/>
  <c r="F19" i="5"/>
  <c r="G19" i="5"/>
  <c r="H19" i="5"/>
  <c r="E20" i="5"/>
  <c r="F20" i="5"/>
  <c r="G20" i="5"/>
  <c r="H20" i="5"/>
  <c r="H14" i="5"/>
  <c r="G14" i="5"/>
  <c r="F14" i="5"/>
  <c r="E14" i="5"/>
  <c r="E12" i="5"/>
  <c r="F12" i="5"/>
  <c r="G12" i="5"/>
  <c r="E7" i="5"/>
  <c r="F7" i="5"/>
  <c r="G7" i="5"/>
  <c r="E8" i="5"/>
  <c r="F8" i="5"/>
  <c r="G8" i="5"/>
  <c r="H8" i="5"/>
  <c r="E9" i="5"/>
  <c r="F9" i="5"/>
  <c r="G9" i="5"/>
  <c r="H9" i="5"/>
  <c r="E10" i="5"/>
  <c r="F10" i="5"/>
  <c r="G10" i="5"/>
  <c r="H10" i="5"/>
  <c r="E11" i="5"/>
  <c r="F11" i="5"/>
  <c r="G11" i="5"/>
  <c r="H11" i="5"/>
  <c r="E6" i="5"/>
  <c r="C185" i="13"/>
  <c r="D185" i="13"/>
  <c r="F185" i="13"/>
  <c r="D186" i="13"/>
  <c r="F186" i="13"/>
  <c r="C187" i="13"/>
  <c r="F385" i="13"/>
  <c r="F384" i="13"/>
  <c r="G73" i="5" s="1"/>
  <c r="G358" i="13"/>
  <c r="F288" i="13"/>
  <c r="G288" i="13" s="1"/>
  <c r="H56" i="5" s="1"/>
  <c r="F282" i="13"/>
  <c r="G282" i="13" s="1"/>
  <c r="H55" i="5" s="1"/>
  <c r="F252" i="13"/>
  <c r="G252" i="13" s="1"/>
  <c r="H50" i="5" s="1"/>
  <c r="F258" i="13"/>
  <c r="G51" i="5" s="1"/>
  <c r="F51" i="5"/>
  <c r="F246" i="13"/>
  <c r="G49" i="5" s="1"/>
  <c r="E246" i="13"/>
  <c r="F220" i="13"/>
  <c r="E220" i="13"/>
  <c r="B18" i="16" l="1"/>
  <c r="G394" i="13"/>
  <c r="G50" i="5"/>
  <c r="G246" i="13"/>
  <c r="H49" i="5" s="1"/>
  <c r="G56" i="5"/>
  <c r="G55" i="5"/>
  <c r="F49" i="5"/>
  <c r="G294" i="13"/>
  <c r="H57" i="5" s="1"/>
  <c r="G258" i="13"/>
  <c r="H51" i="5" s="1"/>
  <c r="G220" i="13"/>
  <c r="B6" i="15"/>
  <c r="B7" i="15"/>
  <c r="B8" i="15"/>
  <c r="B9" i="15"/>
  <c r="B10" i="15"/>
  <c r="B11" i="15"/>
  <c r="B12" i="15"/>
  <c r="B13" i="15"/>
  <c r="B5" i="15"/>
  <c r="F109" i="13"/>
  <c r="G24" i="5" s="1"/>
  <c r="E109" i="13"/>
  <c r="F24" i="5" s="1"/>
  <c r="F71" i="13"/>
  <c r="G16" i="5" s="1"/>
  <c r="E71" i="13"/>
  <c r="F16" i="5" s="1"/>
  <c r="G71" i="13"/>
  <c r="H16" i="5" s="1"/>
  <c r="I16" i="5" s="1"/>
  <c r="F67" i="13"/>
  <c r="F66" i="13"/>
  <c r="C334" i="13"/>
  <c r="C172" i="13" s="1"/>
  <c r="D334" i="13"/>
  <c r="D172" i="13" s="1"/>
  <c r="E334" i="13"/>
  <c r="E172" i="13" s="1"/>
  <c r="F334" i="13"/>
  <c r="F172" i="13" s="1"/>
  <c r="C335" i="13"/>
  <c r="D335" i="13"/>
  <c r="D173" i="13" s="1"/>
  <c r="E335" i="13"/>
  <c r="E173" i="13" s="1"/>
  <c r="F335" i="13"/>
  <c r="F173" i="13" s="1"/>
  <c r="C174" i="13"/>
  <c r="D336" i="13"/>
  <c r="D174" i="13" s="1"/>
  <c r="E336" i="13"/>
  <c r="E174" i="13" s="1"/>
  <c r="F336" i="13"/>
  <c r="F174" i="13" s="1"/>
  <c r="C337" i="13"/>
  <c r="C175" i="13" s="1"/>
  <c r="D337" i="13"/>
  <c r="D175" i="13" s="1"/>
  <c r="E337" i="13"/>
  <c r="E175" i="13" s="1"/>
  <c r="F337" i="13"/>
  <c r="F175" i="13" s="1"/>
  <c r="G13" i="5"/>
  <c r="F13" i="5"/>
  <c r="G54" i="13"/>
  <c r="G55" i="13"/>
  <c r="G56" i="13"/>
  <c r="G53" i="13"/>
  <c r="A18" i="15"/>
  <c r="B18" i="15"/>
  <c r="C18" i="15"/>
  <c r="D18" i="15"/>
  <c r="A19" i="15"/>
  <c r="C19" i="15"/>
  <c r="E66" i="5" l="1"/>
  <c r="E67" i="5"/>
  <c r="E68" i="5"/>
  <c r="E69" i="5"/>
  <c r="E70" i="5"/>
  <c r="E71" i="5"/>
  <c r="H72" i="5"/>
  <c r="H74" i="5"/>
  <c r="H75" i="5"/>
  <c r="H76" i="5"/>
  <c r="H77" i="5"/>
  <c r="H69" i="5"/>
  <c r="H71" i="5"/>
  <c r="G74" i="5"/>
  <c r="G77" i="5"/>
  <c r="F66" i="5"/>
  <c r="F67" i="5"/>
  <c r="F69" i="5"/>
  <c r="F70" i="5"/>
  <c r="F71" i="5"/>
  <c r="E72" i="5"/>
  <c r="E73" i="5"/>
  <c r="E74" i="5"/>
  <c r="E75" i="5"/>
  <c r="E76" i="5"/>
  <c r="E77" i="5"/>
  <c r="G72" i="5"/>
  <c r="G75" i="5"/>
  <c r="G69" i="5"/>
  <c r="G71" i="5"/>
  <c r="F72" i="5"/>
  <c r="F73" i="5"/>
  <c r="H73" i="5" s="1"/>
  <c r="I73" i="5" s="1"/>
  <c r="F74" i="5"/>
  <c r="F75" i="5"/>
  <c r="F76" i="5"/>
  <c r="F77" i="5"/>
  <c r="G76" i="5"/>
  <c r="G33" i="5"/>
  <c r="F33" i="5"/>
  <c r="H24" i="5"/>
  <c r="I24" i="5" s="1"/>
  <c r="B15" i="15"/>
  <c r="G337" i="13"/>
  <c r="G175" i="13" s="1"/>
  <c r="E34" i="5"/>
  <c r="E36" i="5"/>
  <c r="E38" i="5"/>
  <c r="E40" i="5"/>
  <c r="E42" i="5"/>
  <c r="E44" i="5"/>
  <c r="H35" i="5"/>
  <c r="F34" i="5"/>
  <c r="F38" i="5"/>
  <c r="F40" i="5"/>
  <c r="F42" i="5"/>
  <c r="F44" i="5"/>
  <c r="H43" i="5"/>
  <c r="G34" i="5"/>
  <c r="G38" i="5"/>
  <c r="G40" i="5"/>
  <c r="G42" i="5"/>
  <c r="G44" i="5"/>
  <c r="H39" i="5"/>
  <c r="H34" i="5"/>
  <c r="H38" i="5"/>
  <c r="H40" i="5"/>
  <c r="H42" i="5"/>
  <c r="H44" i="5"/>
  <c r="H37" i="5"/>
  <c r="E35" i="5"/>
  <c r="E37" i="5"/>
  <c r="E39" i="5"/>
  <c r="E41" i="5"/>
  <c r="E43" i="5"/>
  <c r="F35" i="5"/>
  <c r="F37" i="5"/>
  <c r="F39" i="5"/>
  <c r="F41" i="5"/>
  <c r="F43" i="5"/>
  <c r="G35" i="5"/>
  <c r="G37" i="5"/>
  <c r="G39" i="5"/>
  <c r="G41" i="5"/>
  <c r="G43" i="5"/>
  <c r="H41" i="5"/>
  <c r="G336" i="13"/>
  <c r="G174" i="13" s="1"/>
  <c r="G335" i="13"/>
  <c r="G173" i="13" s="1"/>
  <c r="G334" i="13"/>
  <c r="G172" i="13" s="1"/>
  <c r="H33" i="5" s="1"/>
  <c r="H13" i="5"/>
  <c r="G65" i="13"/>
  <c r="H15" i="5" s="1"/>
  <c r="A34" i="15"/>
  <c r="A35" i="15"/>
  <c r="C5" i="15"/>
  <c r="E5" i="15"/>
  <c r="C6" i="15"/>
  <c r="E6" i="15"/>
  <c r="C7" i="15"/>
  <c r="E7" i="15"/>
  <c r="C8" i="15"/>
  <c r="E8" i="15"/>
  <c r="C9" i="15"/>
  <c r="E9" i="15"/>
  <c r="C10" i="15"/>
  <c r="E10" i="15"/>
  <c r="C11" i="15"/>
  <c r="E11" i="15"/>
  <c r="C12" i="15"/>
  <c r="E12" i="15"/>
  <c r="B12" i="18"/>
  <c r="B13" i="18"/>
  <c r="E20" i="11"/>
  <c r="E21" i="11"/>
  <c r="E19" i="11"/>
  <c r="C19" i="11"/>
  <c r="B3" i="18" s="1"/>
  <c r="C20" i="11"/>
  <c r="B4" i="18" s="1"/>
  <c r="C21" i="11"/>
  <c r="B5" i="18" s="1"/>
  <c r="E6" i="18"/>
  <c r="A7" i="14"/>
  <c r="A5" i="14"/>
  <c r="C5" i="14" s="1"/>
  <c r="F8" i="11"/>
  <c r="E8" i="11"/>
  <c r="D8" i="11"/>
  <c r="J10" i="15" l="1"/>
  <c r="J8" i="15"/>
  <c r="D51" i="5" s="1"/>
  <c r="J6" i="15"/>
  <c r="J5" i="15"/>
  <c r="J11" i="15"/>
  <c r="J12" i="15"/>
  <c r="J9" i="15"/>
  <c r="J13" i="15"/>
  <c r="J7" i="15"/>
  <c r="B16" i="16" s="1"/>
  <c r="J4" i="15"/>
  <c r="D49" i="5" s="1"/>
  <c r="J14" i="15"/>
  <c r="J15" i="15"/>
  <c r="J3" i="15"/>
  <c r="D16" i="16"/>
  <c r="B14" i="18"/>
  <c r="E5" i="18"/>
  <c r="B33" i="15"/>
  <c r="D33" i="15" s="1"/>
  <c r="E4" i="18"/>
  <c r="B32" i="15"/>
  <c r="D32" i="15" s="1"/>
  <c r="E3" i="18"/>
  <c r="F14" i="15"/>
  <c r="G14" i="15" s="1"/>
  <c r="B34" i="15"/>
  <c r="B20" i="18"/>
  <c r="E22" i="11"/>
  <c r="B21" i="15" l="1"/>
  <c r="E11" i="19" s="1"/>
  <c r="B5" i="16"/>
  <c r="B4" i="16"/>
  <c r="J16" i="15"/>
  <c r="L45" i="19"/>
  <c r="L28" i="19"/>
  <c r="L7" i="19"/>
  <c r="L33" i="19"/>
  <c r="L25" i="19"/>
  <c r="L24" i="19"/>
  <c r="L32" i="19"/>
  <c r="L31" i="19"/>
  <c r="L38" i="19"/>
  <c r="E7" i="18"/>
  <c r="M25" i="19" s="1"/>
  <c r="L27" i="19"/>
  <c r="L26" i="19"/>
  <c r="L30" i="19"/>
  <c r="L37" i="19"/>
  <c r="E13" i="19"/>
  <c r="L13" i="19" s="1"/>
  <c r="L29" i="19"/>
  <c r="N29" i="19"/>
  <c r="N45" i="19"/>
  <c r="N32" i="19"/>
  <c r="N33" i="19"/>
  <c r="N37" i="19"/>
  <c r="N25" i="19"/>
  <c r="N38" i="19"/>
  <c r="N24" i="19"/>
  <c r="N31" i="19"/>
  <c r="N30" i="19"/>
  <c r="N27" i="19"/>
  <c r="N26" i="19"/>
  <c r="N7" i="19"/>
  <c r="N28" i="19"/>
  <c r="N11" i="19" l="1"/>
  <c r="F20" i="19"/>
  <c r="M24" i="19"/>
  <c r="M7" i="19"/>
  <c r="M33" i="19"/>
  <c r="M27" i="19"/>
  <c r="M28" i="19"/>
  <c r="M29" i="19"/>
  <c r="M31" i="19"/>
  <c r="M37" i="19"/>
  <c r="L11" i="19"/>
  <c r="M26" i="19"/>
  <c r="M45" i="19"/>
  <c r="M30" i="19"/>
  <c r="M32" i="19"/>
  <c r="M11" i="19"/>
  <c r="M38" i="19"/>
  <c r="M13" i="19"/>
  <c r="N13" i="19"/>
  <c r="C24" i="10" l="1"/>
  <c r="A15" i="9"/>
  <c r="G31" i="9" s="1"/>
  <c r="F83" i="13"/>
  <c r="G18" i="5" s="1"/>
  <c r="F364" i="13"/>
  <c r="F346" i="13"/>
  <c r="F340" i="13"/>
  <c r="G115" i="13"/>
  <c r="H25" i="5" s="1"/>
  <c r="I25" i="5" s="1"/>
  <c r="F103" i="13"/>
  <c r="G23" i="5" s="1"/>
  <c r="E103" i="13"/>
  <c r="F23" i="5" s="1"/>
  <c r="F352" i="13"/>
  <c r="G68" i="5" s="1"/>
  <c r="E352" i="13"/>
  <c r="F68" i="5" s="1"/>
  <c r="F264" i="13"/>
  <c r="G52" i="5" s="1"/>
  <c r="E264" i="13"/>
  <c r="F52" i="5" s="1"/>
  <c r="F151" i="13"/>
  <c r="F147" i="13" s="1"/>
  <c r="E86" i="13"/>
  <c r="E83" i="13" s="1"/>
  <c r="G11" i="2"/>
  <c r="I11" i="19" s="1"/>
  <c r="A16" i="15" l="1"/>
  <c r="G364" i="13"/>
  <c r="H70" i="5" s="1"/>
  <c r="I70" i="5" s="1"/>
  <c r="G70" i="5"/>
  <c r="G340" i="13"/>
  <c r="H66" i="5" s="1"/>
  <c r="I66" i="5" s="1"/>
  <c r="G66" i="5"/>
  <c r="G346" i="13"/>
  <c r="H67" i="5" s="1"/>
  <c r="G67" i="5"/>
  <c r="G352" i="13"/>
  <c r="H68" i="5" s="1"/>
  <c r="G147" i="13"/>
  <c r="H29" i="5" s="1"/>
  <c r="G29" i="5"/>
  <c r="G83" i="13"/>
  <c r="H18" i="5" s="1"/>
  <c r="I18" i="5" s="1"/>
  <c r="F18" i="5"/>
  <c r="G103" i="13"/>
  <c r="H23" i="5" s="1"/>
  <c r="I23" i="5" s="1"/>
  <c r="G264" i="13"/>
  <c r="H52" i="5" s="1"/>
  <c r="G151" i="13"/>
  <c r="F15" i="13"/>
  <c r="F312" i="13"/>
  <c r="F310" i="13"/>
  <c r="E309" i="13"/>
  <c r="G47" i="13"/>
  <c r="H12" i="5" s="1"/>
  <c r="C12" i="19"/>
  <c r="F11" i="13" l="1"/>
  <c r="F188" i="13"/>
  <c r="F311" i="13"/>
  <c r="F313" i="13" s="1"/>
  <c r="G12" i="2"/>
  <c r="I12" i="19" s="1"/>
  <c r="E313" i="13"/>
  <c r="B23" i="15"/>
  <c r="D19" i="9"/>
  <c r="D20" i="15" s="1"/>
  <c r="D20" i="9"/>
  <c r="D21" i="15" s="1"/>
  <c r="D23" i="9"/>
  <c r="D24" i="15" s="1"/>
  <c r="D18" i="9"/>
  <c r="F6" i="9"/>
  <c r="F7" i="9"/>
  <c r="F5" i="9"/>
  <c r="C5" i="9"/>
  <c r="I11" i="8" s="1"/>
  <c r="C7" i="9"/>
  <c r="D7" i="15" s="1"/>
  <c r="F7" i="15" s="1"/>
  <c r="G7" i="15" s="1"/>
  <c r="E14" i="9"/>
  <c r="E34" i="2"/>
  <c r="C34" i="2"/>
  <c r="D34" i="19" s="1"/>
  <c r="D20" i="19"/>
  <c r="E8" i="2"/>
  <c r="C8" i="2"/>
  <c r="D8" i="19" s="1"/>
  <c r="H23" i="2"/>
  <c r="J23" i="19" s="1"/>
  <c r="H10" i="2"/>
  <c r="F14" i="9" l="1"/>
  <c r="F13" i="15"/>
  <c r="G13" i="15" s="1"/>
  <c r="D6" i="15"/>
  <c r="F6" i="15" s="1"/>
  <c r="G6" i="15" s="1"/>
  <c r="I3" i="8"/>
  <c r="G3" i="8" s="1"/>
  <c r="D5" i="15"/>
  <c r="F5" i="15" s="1"/>
  <c r="G5" i="15" s="1"/>
  <c r="D22" i="9"/>
  <c r="D23" i="15" s="1"/>
  <c r="G6" i="5"/>
  <c r="F184" i="13"/>
  <c r="G36" i="5" s="1"/>
  <c r="E308" i="13"/>
  <c r="F61" i="5" s="1"/>
  <c r="F308" i="13"/>
  <c r="G61" i="5" s="1"/>
  <c r="G313" i="13"/>
  <c r="G308" i="13" s="1"/>
  <c r="H61" i="5" s="1"/>
  <c r="G40" i="2"/>
  <c r="I40" i="19" s="1"/>
  <c r="G38" i="2"/>
  <c r="I38" i="19" s="1"/>
  <c r="G37" i="2"/>
  <c r="I37" i="19" s="1"/>
  <c r="G33" i="2"/>
  <c r="I33" i="19" s="1"/>
  <c r="G32" i="2"/>
  <c r="I32" i="19" s="1"/>
  <c r="G31" i="2"/>
  <c r="I31" i="19" s="1"/>
  <c r="G30" i="2"/>
  <c r="I30" i="19" s="1"/>
  <c r="G29" i="2"/>
  <c r="I29" i="19" s="1"/>
  <c r="G28" i="2"/>
  <c r="I28" i="19" s="1"/>
  <c r="G27" i="2"/>
  <c r="I27" i="19" s="1"/>
  <c r="G26" i="2"/>
  <c r="I26" i="19" s="1"/>
  <c r="G25" i="2"/>
  <c r="I25" i="19" s="1"/>
  <c r="G24" i="2"/>
  <c r="I24" i="19" s="1"/>
  <c r="G23" i="2"/>
  <c r="I23" i="19" s="1"/>
  <c r="G19" i="2"/>
  <c r="I19" i="19" s="1"/>
  <c r="G18" i="2"/>
  <c r="I18" i="19" s="1"/>
  <c r="G17" i="2"/>
  <c r="I17" i="19" s="1"/>
  <c r="G16" i="2"/>
  <c r="I16" i="19" s="1"/>
  <c r="G15" i="2"/>
  <c r="I15" i="19" s="1"/>
  <c r="G14" i="2"/>
  <c r="I14" i="19" s="1"/>
  <c r="E14" i="19" s="1"/>
  <c r="G10" i="2"/>
  <c r="G7" i="2"/>
  <c r="I7" i="19" s="1"/>
  <c r="G6" i="2"/>
  <c r="I6" i="19" s="1"/>
  <c r="G5" i="2"/>
  <c r="G4" i="2"/>
  <c r="D41" i="2"/>
  <c r="C21" i="19"/>
  <c r="N6" i="8"/>
  <c r="N7" i="8"/>
  <c r="N8" i="8"/>
  <c r="N9" i="8"/>
  <c r="N10" i="8"/>
  <c r="N11" i="8"/>
  <c r="N12" i="8"/>
  <c r="N13" i="8"/>
  <c r="N14" i="8"/>
  <c r="N15" i="8"/>
  <c r="N16" i="8"/>
  <c r="N17" i="8"/>
  <c r="N18" i="8"/>
  <c r="N19" i="8"/>
  <c r="N20" i="8"/>
  <c r="N21" i="8"/>
  <c r="N22" i="8"/>
  <c r="N5" i="8"/>
  <c r="B31" i="9"/>
  <c r="B30" i="9"/>
  <c r="D30" i="9" s="1"/>
  <c r="B29" i="9"/>
  <c r="D29" i="9" s="1"/>
  <c r="I9" i="8" l="1"/>
  <c r="I5" i="8"/>
  <c r="I8" i="8"/>
  <c r="I4" i="8"/>
  <c r="D4" i="15"/>
  <c r="I5" i="19"/>
  <c r="G49" i="2"/>
  <c r="I51" i="19" s="1"/>
  <c r="C5" i="20" s="1"/>
  <c r="I4" i="19"/>
  <c r="B11" i="18"/>
  <c r="E4" i="19" s="1"/>
  <c r="C31" i="9"/>
  <c r="D31" i="9" s="1"/>
  <c r="D32" i="9" s="1"/>
  <c r="C34" i="15"/>
  <c r="D34" i="15" s="1"/>
  <c r="D35" i="15" s="1"/>
  <c r="L14" i="19"/>
  <c r="N14" i="19"/>
  <c r="M14" i="19"/>
  <c r="D24" i="9"/>
  <c r="B35" i="2"/>
  <c r="C35" i="19" s="1"/>
  <c r="G21" i="2"/>
  <c r="I21" i="19" s="1"/>
  <c r="C3" i="20" s="1"/>
  <c r="B23" i="1"/>
  <c r="E8" i="1"/>
  <c r="E9" i="1"/>
  <c r="E10" i="1"/>
  <c r="E7" i="1"/>
  <c r="F4" i="15" l="1"/>
  <c r="I46" i="2"/>
  <c r="I13" i="2"/>
  <c r="K13" i="19" s="1"/>
  <c r="I43" i="2"/>
  <c r="I45" i="2"/>
  <c r="I49" i="2"/>
  <c r="L4" i="19"/>
  <c r="N4" i="19"/>
  <c r="M4" i="19"/>
  <c r="B36" i="11"/>
  <c r="E36" i="11" s="1"/>
  <c r="I11" i="2"/>
  <c r="K11" i="19" s="1"/>
  <c r="I12" i="2"/>
  <c r="K12" i="19" s="1"/>
  <c r="I40" i="2"/>
  <c r="K40" i="19" s="1"/>
  <c r="I28" i="2"/>
  <c r="K28" i="19" s="1"/>
  <c r="I17" i="2"/>
  <c r="K17" i="19" s="1"/>
  <c r="E17" i="19" s="1"/>
  <c r="I4" i="2"/>
  <c r="K4" i="19" s="1"/>
  <c r="I37" i="2"/>
  <c r="K37" i="19" s="1"/>
  <c r="I33" i="2"/>
  <c r="K33" i="19" s="1"/>
  <c r="I14" i="2"/>
  <c r="K14" i="19" s="1"/>
  <c r="I24" i="2"/>
  <c r="K24" i="19" s="1"/>
  <c r="I31" i="2"/>
  <c r="K31" i="19" s="1"/>
  <c r="I7" i="2"/>
  <c r="K7" i="19" s="1"/>
  <c r="I19" i="2"/>
  <c r="K19" i="19" s="1"/>
  <c r="I29" i="2"/>
  <c r="K29" i="19" s="1"/>
  <c r="I5" i="2"/>
  <c r="K5" i="19" s="1"/>
  <c r="I38" i="2"/>
  <c r="K38" i="19" s="1"/>
  <c r="I27" i="2"/>
  <c r="K27" i="19" s="1"/>
  <c r="I16" i="2"/>
  <c r="K16" i="19" s="1"/>
  <c r="E16" i="19" s="1"/>
  <c r="I26" i="2"/>
  <c r="K26" i="19" s="1"/>
  <c r="I15" i="2"/>
  <c r="I25" i="2"/>
  <c r="K25" i="19" s="1"/>
  <c r="I32" i="2"/>
  <c r="K32" i="19" s="1"/>
  <c r="I10" i="2"/>
  <c r="I23" i="2"/>
  <c r="K23" i="19" s="1"/>
  <c r="E23" i="19" s="1"/>
  <c r="I30" i="2"/>
  <c r="K30" i="19" s="1"/>
  <c r="I6" i="2"/>
  <c r="K6" i="19" s="1"/>
  <c r="I18" i="2"/>
  <c r="K18" i="19" s="1"/>
  <c r="I21" i="2"/>
  <c r="K21" i="19" s="1"/>
  <c r="B41" i="2"/>
  <c r="I35" i="2"/>
  <c r="K35" i="19" s="1"/>
  <c r="G35" i="2"/>
  <c r="I35" i="19" s="1"/>
  <c r="E11" i="1"/>
  <c r="G4" i="15" l="1"/>
  <c r="G15" i="15" s="1"/>
  <c r="F15" i="15"/>
  <c r="D3" i="11"/>
  <c r="H49" i="2"/>
  <c r="H45" i="2"/>
  <c r="H13" i="2"/>
  <c r="J13" i="19" s="1"/>
  <c r="H43" i="2"/>
  <c r="H46" i="2"/>
  <c r="F34" i="19"/>
  <c r="N23" i="19"/>
  <c r="M23" i="19"/>
  <c r="L23" i="19"/>
  <c r="N17" i="19"/>
  <c r="M17" i="19"/>
  <c r="L17" i="19"/>
  <c r="C41" i="19"/>
  <c r="B44" i="2"/>
  <c r="H44" i="2" s="1"/>
  <c r="K15" i="19"/>
  <c r="E15" i="19" s="1"/>
  <c r="H37" i="2"/>
  <c r="J37" i="19" s="1"/>
  <c r="H31" i="2"/>
  <c r="J31" i="19" s="1"/>
  <c r="H16" i="2"/>
  <c r="J16" i="19" s="1"/>
  <c r="H4" i="2"/>
  <c r="H19" i="2"/>
  <c r="J19" i="19" s="1"/>
  <c r="H21" i="2"/>
  <c r="J21" i="19" s="1"/>
  <c r="H38" i="2"/>
  <c r="J38" i="19" s="1"/>
  <c r="H35" i="2"/>
  <c r="J35" i="19" s="1"/>
  <c r="H32" i="2"/>
  <c r="J32" i="19" s="1"/>
  <c r="H17" i="2"/>
  <c r="J17" i="19" s="1"/>
  <c r="H33" i="2"/>
  <c r="J33" i="19" s="1"/>
  <c r="H18" i="2"/>
  <c r="J18" i="19" s="1"/>
  <c r="E18" i="19" s="1"/>
  <c r="H24" i="2"/>
  <c r="J24" i="19" s="1"/>
  <c r="H11" i="2"/>
  <c r="H30" i="2"/>
  <c r="J30" i="19" s="1"/>
  <c r="H25" i="2"/>
  <c r="J25" i="19" s="1"/>
  <c r="H26" i="2"/>
  <c r="J26" i="19" s="1"/>
  <c r="H27" i="2"/>
  <c r="J27" i="19" s="1"/>
  <c r="H15" i="2"/>
  <c r="J15" i="19" s="1"/>
  <c r="H41" i="2"/>
  <c r="J41" i="19" s="1"/>
  <c r="H28" i="2"/>
  <c r="J28" i="19" s="1"/>
  <c r="H12" i="2"/>
  <c r="J12" i="19" s="1"/>
  <c r="H5" i="2"/>
  <c r="J5" i="19" s="1"/>
  <c r="E5" i="19" s="1"/>
  <c r="H40" i="2"/>
  <c r="J40" i="19" s="1"/>
  <c r="H29" i="2"/>
  <c r="J29" i="19" s="1"/>
  <c r="H14" i="2"/>
  <c r="J14" i="19" s="1"/>
  <c r="H6" i="2"/>
  <c r="J6" i="19" s="1"/>
  <c r="H7" i="2"/>
  <c r="J7" i="19" s="1"/>
  <c r="B4" i="11"/>
  <c r="B3" i="11"/>
  <c r="B5" i="11"/>
  <c r="C8" i="10"/>
  <c r="B9" i="16" s="1"/>
  <c r="C7" i="10"/>
  <c r="B8" i="16" s="1"/>
  <c r="I41" i="2"/>
  <c r="K41" i="19" s="1"/>
  <c r="G41" i="2"/>
  <c r="I41" i="19" s="1"/>
  <c r="C4" i="20" s="1"/>
  <c r="G44" i="2" l="1"/>
  <c r="I46" i="19" s="1"/>
  <c r="C6" i="20" s="1"/>
  <c r="B47" i="2"/>
  <c r="I44" i="2"/>
  <c r="F8" i="19"/>
  <c r="E21" i="19" s="1"/>
  <c r="N5" i="19"/>
  <c r="M5" i="19"/>
  <c r="L5" i="19"/>
  <c r="N18" i="19"/>
  <c r="M18" i="19"/>
  <c r="L18" i="19"/>
  <c r="C46" i="19"/>
  <c r="C49" i="19" s="1"/>
  <c r="I49" i="19" s="1"/>
  <c r="C7" i="20" s="1"/>
  <c r="J11" i="19"/>
  <c r="J4" i="19"/>
  <c r="D9" i="11"/>
  <c r="A3" i="14" s="1"/>
  <c r="E15" i="10"/>
  <c r="I47" i="2" l="1"/>
  <c r="H47" i="2"/>
  <c r="G2" i="14"/>
  <c r="C3" i="14"/>
  <c r="C7" i="14" s="1"/>
  <c r="F24" i="10" l="1"/>
  <c r="M8" i="14"/>
  <c r="M10" i="14"/>
  <c r="M5" i="14"/>
  <c r="M30" i="14"/>
  <c r="M14" i="14"/>
  <c r="M24" i="14"/>
  <c r="M21" i="14"/>
  <c r="M28" i="14"/>
  <c r="M9" i="14"/>
  <c r="M3" i="14"/>
  <c r="M12" i="14"/>
  <c r="M31" i="14"/>
  <c r="M19" i="14"/>
  <c r="M25" i="14"/>
  <c r="M16" i="14"/>
  <c r="M17" i="14"/>
  <c r="M29" i="14"/>
  <c r="M18" i="14"/>
  <c r="M11" i="14"/>
  <c r="M22" i="14"/>
  <c r="M13" i="14"/>
  <c r="M26" i="14"/>
  <c r="M4" i="14"/>
  <c r="M7" i="14"/>
  <c r="M2" i="14"/>
  <c r="E47" i="19" s="1"/>
  <c r="M20" i="14"/>
  <c r="M15" i="14"/>
  <c r="M23" i="14"/>
  <c r="M6" i="14"/>
  <c r="M27" i="14"/>
  <c r="H2" i="14"/>
  <c r="I2" i="14" s="1"/>
  <c r="G3" i="14"/>
  <c r="N47" i="19" l="1"/>
  <c r="M47" i="19"/>
  <c r="L47" i="19"/>
  <c r="H3" i="14"/>
  <c r="I3" i="14" s="1"/>
  <c r="G4" i="14"/>
  <c r="M32" i="14"/>
  <c r="H4" i="14" l="1"/>
  <c r="G5" i="14"/>
  <c r="E35" i="19" l="1"/>
  <c r="M35" i="19" s="1"/>
  <c r="L21" i="19"/>
  <c r="D3" i="20" s="1"/>
  <c r="N21" i="19"/>
  <c r="M21" i="19"/>
  <c r="H5" i="14"/>
  <c r="I5" i="14" s="1"/>
  <c r="G6" i="14"/>
  <c r="I4" i="14"/>
  <c r="L35" i="19" l="1"/>
  <c r="N35" i="19"/>
  <c r="H6" i="14"/>
  <c r="G7" i="14"/>
  <c r="I6" i="14" l="1"/>
  <c r="G8" i="14"/>
  <c r="H7" i="14"/>
  <c r="I7" i="14" s="1"/>
  <c r="G9" i="14" l="1"/>
  <c r="H8" i="14"/>
  <c r="I8" i="14" s="1"/>
  <c r="G10" i="14" l="1"/>
  <c r="H9" i="14"/>
  <c r="G11" i="14" l="1"/>
  <c r="H10" i="14"/>
  <c r="I10" i="14" s="1"/>
  <c r="I9" i="14"/>
  <c r="G12" i="14" l="1"/>
  <c r="H11" i="14"/>
  <c r="I11" i="14" s="1"/>
  <c r="H12" i="14" l="1"/>
  <c r="I12" i="14" s="1"/>
  <c r="G13" i="14"/>
  <c r="H13" i="14" l="1"/>
  <c r="G14" i="14"/>
  <c r="G15" i="14" l="1"/>
  <c r="H14" i="14"/>
  <c r="I13" i="14"/>
  <c r="J13" i="14" s="1"/>
  <c r="N2" i="14"/>
  <c r="E40" i="19" l="1"/>
  <c r="I14" i="14"/>
  <c r="G16" i="14"/>
  <c r="H15" i="14"/>
  <c r="I15" i="14" s="1"/>
  <c r="E41" i="19" l="1"/>
  <c r="M41" i="19" s="1"/>
  <c r="N40" i="19"/>
  <c r="M40" i="19"/>
  <c r="L40" i="19"/>
  <c r="G17" i="14"/>
  <c r="H16" i="14"/>
  <c r="I16" i="14" s="1"/>
  <c r="L41" i="19" l="1"/>
  <c r="N41" i="19"/>
  <c r="E43" i="19"/>
  <c r="E46" i="19" s="1"/>
  <c r="G18" i="14"/>
  <c r="H17" i="14"/>
  <c r="L43" i="19" l="1"/>
  <c r="D4" i="20" s="1"/>
  <c r="M43" i="19"/>
  <c r="N43" i="19"/>
  <c r="M46" i="19"/>
  <c r="L46" i="19"/>
  <c r="D6" i="20" s="1"/>
  <c r="N46" i="19"/>
  <c r="E49" i="19"/>
  <c r="L49" i="19" s="1"/>
  <c r="D7" i="20" s="1"/>
  <c r="I17" i="14"/>
  <c r="G19" i="14"/>
  <c r="H18" i="14"/>
  <c r="I18" i="14" s="1"/>
  <c r="G20" i="14" l="1"/>
  <c r="H19" i="14"/>
  <c r="I19" i="14" s="1"/>
  <c r="H20" i="14" l="1"/>
  <c r="I20" i="14" s="1"/>
  <c r="G21" i="14"/>
  <c r="H21" i="14" l="1"/>
  <c r="I21" i="14" s="1"/>
  <c r="G22" i="14"/>
  <c r="H22" i="14" l="1"/>
  <c r="I22" i="14" s="1"/>
  <c r="G23" i="14"/>
  <c r="H23" i="14" l="1"/>
  <c r="I23" i="14" s="1"/>
  <c r="G24" i="14"/>
  <c r="G25" i="14" l="1"/>
  <c r="H24" i="14"/>
  <c r="I24" i="14" s="1"/>
  <c r="H25" i="14" l="1"/>
  <c r="G26" i="14"/>
  <c r="I25" i="14" l="1"/>
  <c r="J25" i="14" s="1"/>
  <c r="N3" i="14"/>
  <c r="G27" i="14"/>
  <c r="H26" i="14"/>
  <c r="G28" i="14" l="1"/>
  <c r="H27" i="14"/>
  <c r="I27" i="14" s="1"/>
  <c r="I26" i="14"/>
  <c r="H28" i="14" l="1"/>
  <c r="G29" i="14"/>
  <c r="I28" i="14" l="1"/>
  <c r="G30" i="14"/>
  <c r="H29" i="14"/>
  <c r="I29" i="14" s="1"/>
  <c r="G31" i="14" l="1"/>
  <c r="H30" i="14"/>
  <c r="I30" i="14" l="1"/>
  <c r="H31" i="14"/>
  <c r="I31" i="14" s="1"/>
  <c r="G32" i="14"/>
  <c r="H32" i="14" l="1"/>
  <c r="I32" i="14" s="1"/>
  <c r="G33" i="14"/>
  <c r="G34" i="14" l="1"/>
  <c r="H33" i="14"/>
  <c r="I33" i="14" s="1"/>
  <c r="H34" i="14" l="1"/>
  <c r="I34" i="14" s="1"/>
  <c r="G35" i="14"/>
  <c r="H35" i="14" l="1"/>
  <c r="I35" i="14" s="1"/>
  <c r="G36" i="14"/>
  <c r="G37" i="14" l="1"/>
  <c r="H36" i="14"/>
  <c r="I36" i="14" s="1"/>
  <c r="G38" i="14" l="1"/>
  <c r="H37" i="14"/>
  <c r="I37" i="14" l="1"/>
  <c r="J37" i="14" s="1"/>
  <c r="N4" i="14"/>
  <c r="G39" i="14"/>
  <c r="H38" i="14"/>
  <c r="I38" i="14" l="1"/>
  <c r="G40" i="14"/>
  <c r="H39" i="14"/>
  <c r="I39" i="14" s="1"/>
  <c r="G41" i="14" l="1"/>
  <c r="H40" i="14"/>
  <c r="I40" i="14" l="1"/>
  <c r="G42" i="14"/>
  <c r="H41" i="14"/>
  <c r="I41" i="14" s="1"/>
  <c r="H42" i="14" l="1"/>
  <c r="G43" i="14"/>
  <c r="G44" i="14" l="1"/>
  <c r="H43" i="14"/>
  <c r="I43" i="14" s="1"/>
  <c r="I42" i="14"/>
  <c r="G45" i="14" l="1"/>
  <c r="H44" i="14"/>
  <c r="I44" i="14" s="1"/>
  <c r="H45" i="14" l="1"/>
  <c r="I45" i="14" s="1"/>
  <c r="G46" i="14"/>
  <c r="G47" i="14" l="1"/>
  <c r="H46" i="14"/>
  <c r="I46" i="14" s="1"/>
  <c r="H47" i="14" l="1"/>
  <c r="I47" i="14" s="1"/>
  <c r="G48" i="14"/>
  <c r="H48" i="14" l="1"/>
  <c r="I48" i="14" s="1"/>
  <c r="G49" i="14"/>
  <c r="G50" i="14" l="1"/>
  <c r="H49" i="14"/>
  <c r="I49" i="14" l="1"/>
  <c r="J49" i="14" s="1"/>
  <c r="N5" i="14"/>
  <c r="H50" i="14"/>
  <c r="G51" i="14"/>
  <c r="H51" i="14" l="1"/>
  <c r="I51" i="14" s="1"/>
  <c r="G52" i="14"/>
  <c r="I50" i="14"/>
  <c r="G53" i="14" l="1"/>
  <c r="H52" i="14"/>
  <c r="I52" i="14" s="1"/>
  <c r="G54" i="14" l="1"/>
  <c r="H53" i="14"/>
  <c r="I53" i="14" l="1"/>
  <c r="G55" i="14"/>
  <c r="H54" i="14"/>
  <c r="I54" i="14" s="1"/>
  <c r="H55" i="14" l="1"/>
  <c r="I55" i="14" s="1"/>
  <c r="G56" i="14"/>
  <c r="G57" i="14" l="1"/>
  <c r="H56" i="14"/>
  <c r="I56" i="14" s="1"/>
  <c r="G58" i="14" l="1"/>
  <c r="H57" i="14"/>
  <c r="I57" i="14" s="1"/>
  <c r="H58" i="14" l="1"/>
  <c r="I58" i="14" s="1"/>
  <c r="G59" i="14"/>
  <c r="H59" i="14" l="1"/>
  <c r="I59" i="14" s="1"/>
  <c r="G60" i="14"/>
  <c r="G61" i="14" l="1"/>
  <c r="H60" i="14"/>
  <c r="I60" i="14" s="1"/>
  <c r="G62" i="14" l="1"/>
  <c r="H61" i="14"/>
  <c r="I61" i="14" l="1"/>
  <c r="J61" i="14" s="1"/>
  <c r="N6" i="14"/>
  <c r="G63" i="14"/>
  <c r="H62" i="14"/>
  <c r="I62" i="14" l="1"/>
  <c r="H63" i="14"/>
  <c r="I63" i="14" s="1"/>
  <c r="G64" i="14"/>
  <c r="H64" i="14" l="1"/>
  <c r="I64" i="14" s="1"/>
  <c r="G65" i="14"/>
  <c r="G66" i="14" l="1"/>
  <c r="H65" i="14"/>
  <c r="I65" i="14" l="1"/>
  <c r="G67" i="14"/>
  <c r="H66" i="14"/>
  <c r="I66" i="14" s="1"/>
  <c r="G68" i="14" l="1"/>
  <c r="H67" i="14"/>
  <c r="I67" i="14" s="1"/>
  <c r="G69" i="14" l="1"/>
  <c r="H68" i="14"/>
  <c r="I68" i="14" s="1"/>
  <c r="G70" i="14" l="1"/>
  <c r="H69" i="14"/>
  <c r="I69" i="14" s="1"/>
  <c r="H70" i="14" l="1"/>
  <c r="I70" i="14" s="1"/>
  <c r="G71" i="14"/>
  <c r="H71" i="14" l="1"/>
  <c r="I71" i="14" s="1"/>
  <c r="G72" i="14"/>
  <c r="H72" i="14" l="1"/>
  <c r="I72" i="14" s="1"/>
  <c r="G73" i="14"/>
  <c r="H73" i="14" l="1"/>
  <c r="G74" i="14"/>
  <c r="I73" i="14" l="1"/>
  <c r="J73" i="14" s="1"/>
  <c r="N7" i="14"/>
  <c r="H74" i="14"/>
  <c r="G75" i="14"/>
  <c r="G76" i="14" l="1"/>
  <c r="H75" i="14"/>
  <c r="I75" i="14" s="1"/>
  <c r="I74" i="14"/>
  <c r="G77" i="14" l="1"/>
  <c r="H76" i="14"/>
  <c r="H77" i="14" l="1"/>
  <c r="I77" i="14" s="1"/>
  <c r="G78" i="14"/>
  <c r="I76" i="14"/>
  <c r="G79" i="14" l="1"/>
  <c r="H78" i="14"/>
  <c r="H79" i="14" l="1"/>
  <c r="I79" i="14" s="1"/>
  <c r="G80" i="14"/>
  <c r="I78" i="14"/>
  <c r="G81" i="14" l="1"/>
  <c r="H80" i="14"/>
  <c r="I80" i="14" s="1"/>
  <c r="G82" i="14" l="1"/>
  <c r="H81" i="14"/>
  <c r="I81" i="14" s="1"/>
  <c r="G83" i="14" l="1"/>
  <c r="H82" i="14"/>
  <c r="I82" i="14" s="1"/>
  <c r="H83" i="14" l="1"/>
  <c r="I83" i="14" s="1"/>
  <c r="G84" i="14"/>
  <c r="G85" i="14" l="1"/>
  <c r="H84" i="14"/>
  <c r="I84" i="14" s="1"/>
  <c r="H85" i="14" l="1"/>
  <c r="G86" i="14"/>
  <c r="G87" i="14" l="1"/>
  <c r="H86" i="14"/>
  <c r="I85" i="14"/>
  <c r="J85" i="14" s="1"/>
  <c r="N8" i="14"/>
  <c r="I86" i="14" l="1"/>
  <c r="G88" i="14"/>
  <c r="H87" i="14"/>
  <c r="I87" i="14" s="1"/>
  <c r="G89" i="14" l="1"/>
  <c r="H88" i="14"/>
  <c r="I88" i="14" s="1"/>
  <c r="H89" i="14" l="1"/>
  <c r="I89" i="14" s="1"/>
  <c r="G90" i="14"/>
  <c r="H90" i="14" l="1"/>
  <c r="I90" i="14" s="1"/>
  <c r="G91" i="14"/>
  <c r="G92" i="14" l="1"/>
  <c r="H91" i="14"/>
  <c r="I91" i="14" s="1"/>
  <c r="G93" i="14" l="1"/>
  <c r="H92" i="14"/>
  <c r="I92" i="14" s="1"/>
  <c r="H93" i="14" l="1"/>
  <c r="I93" i="14" s="1"/>
  <c r="G94" i="14"/>
  <c r="G95" i="14" l="1"/>
  <c r="H94" i="14"/>
  <c r="I94" i="14" s="1"/>
  <c r="G96" i="14" l="1"/>
  <c r="H95" i="14"/>
  <c r="I95" i="14" s="1"/>
  <c r="G97" i="14" l="1"/>
  <c r="H96" i="14"/>
  <c r="I96" i="14" s="1"/>
  <c r="G98" i="14" l="1"/>
  <c r="H97" i="14"/>
  <c r="I97" i="14" l="1"/>
  <c r="J97" i="14" s="1"/>
  <c r="N9" i="14"/>
  <c r="G99" i="14"/>
  <c r="H98" i="14"/>
  <c r="I98" i="14" l="1"/>
  <c r="G100" i="14"/>
  <c r="H99" i="14"/>
  <c r="I99" i="14" s="1"/>
  <c r="H100" i="14" l="1"/>
  <c r="I100" i="14" s="1"/>
  <c r="G101" i="14"/>
  <c r="G102" i="14" l="1"/>
  <c r="H101" i="14"/>
  <c r="I101" i="14" s="1"/>
  <c r="H102" i="14" l="1"/>
  <c r="I102" i="14" s="1"/>
  <c r="G103" i="14"/>
  <c r="H103" i="14" l="1"/>
  <c r="I103" i="14" s="1"/>
  <c r="G104" i="14"/>
  <c r="G105" i="14" l="1"/>
  <c r="H104" i="14"/>
  <c r="I104" i="14" s="1"/>
  <c r="G106" i="14" l="1"/>
  <c r="H105" i="14"/>
  <c r="I105" i="14" s="1"/>
  <c r="G107" i="14" l="1"/>
  <c r="H106" i="14"/>
  <c r="I106" i="14" s="1"/>
  <c r="G108" i="14" l="1"/>
  <c r="H107" i="14"/>
  <c r="I107" i="14" s="1"/>
  <c r="G109" i="14" l="1"/>
  <c r="H108" i="14"/>
  <c r="I108" i="14" s="1"/>
  <c r="G110" i="14" l="1"/>
  <c r="H109" i="14"/>
  <c r="I109" i="14" l="1"/>
  <c r="J109" i="14" s="1"/>
  <c r="N10" i="14"/>
  <c r="G111" i="14"/>
  <c r="H110" i="14"/>
  <c r="I110" i="14" l="1"/>
  <c r="G112" i="14"/>
  <c r="H111" i="14"/>
  <c r="I111" i="14" s="1"/>
  <c r="G113" i="14" l="1"/>
  <c r="H112" i="14"/>
  <c r="I112" i="14" s="1"/>
  <c r="H113" i="14" l="1"/>
  <c r="G114" i="14"/>
  <c r="I113" i="14" l="1"/>
  <c r="G115" i="14"/>
  <c r="H114" i="14"/>
  <c r="I114" i="14" s="1"/>
  <c r="G116" i="14" l="1"/>
  <c r="H115" i="14"/>
  <c r="I115" i="14" s="1"/>
  <c r="G117" i="14" l="1"/>
  <c r="H116" i="14"/>
  <c r="I116" i="14" s="1"/>
  <c r="G118" i="14" l="1"/>
  <c r="H117" i="14"/>
  <c r="I117" i="14" s="1"/>
  <c r="G119" i="14" l="1"/>
  <c r="H118" i="14"/>
  <c r="I118" i="14" s="1"/>
  <c r="H119" i="14" l="1"/>
  <c r="I119" i="14" s="1"/>
  <c r="G120" i="14"/>
  <c r="G121" i="14" l="1"/>
  <c r="H120" i="14"/>
  <c r="I120" i="14" s="1"/>
  <c r="H121" i="14" l="1"/>
  <c r="G122" i="14"/>
  <c r="G123" i="14" l="1"/>
  <c r="H122" i="14"/>
  <c r="I121" i="14"/>
  <c r="J121" i="14" s="1"/>
  <c r="N11" i="14"/>
  <c r="I122" i="14" l="1"/>
  <c r="G124" i="14"/>
  <c r="H123" i="14"/>
  <c r="I123" i="14" s="1"/>
  <c r="H124" i="14" l="1"/>
  <c r="I124" i="14" s="1"/>
  <c r="G125" i="14"/>
  <c r="G126" i="14" l="1"/>
  <c r="H125" i="14"/>
  <c r="I125" i="14" l="1"/>
  <c r="G127" i="14"/>
  <c r="H126" i="14"/>
  <c r="I126" i="14" s="1"/>
  <c r="G128" i="14" l="1"/>
  <c r="H127" i="14"/>
  <c r="I127" i="14" s="1"/>
  <c r="G129" i="14" l="1"/>
  <c r="H128" i="14"/>
  <c r="I128" i="14" s="1"/>
  <c r="H129" i="14" l="1"/>
  <c r="I129" i="14" s="1"/>
  <c r="G130" i="14"/>
  <c r="G131" i="14" l="1"/>
  <c r="H130" i="14"/>
  <c r="I130" i="14" s="1"/>
  <c r="G132" i="14" l="1"/>
  <c r="H131" i="14"/>
  <c r="I131" i="14" s="1"/>
  <c r="H132" i="14" l="1"/>
  <c r="I132" i="14" s="1"/>
  <c r="G133" i="14"/>
  <c r="G134" i="14" l="1"/>
  <c r="H133" i="14"/>
  <c r="I133" i="14" l="1"/>
  <c r="J133" i="14" s="1"/>
  <c r="N12" i="14"/>
  <c r="H134" i="14"/>
  <c r="G135" i="14"/>
  <c r="I134" i="14" l="1"/>
  <c r="H135" i="14"/>
  <c r="I135" i="14" s="1"/>
  <c r="G136" i="14"/>
  <c r="G137" i="14" l="1"/>
  <c r="H136" i="14"/>
  <c r="I136" i="14" s="1"/>
  <c r="H137" i="14" l="1"/>
  <c r="G138" i="14"/>
  <c r="G139" i="14" l="1"/>
  <c r="H138" i="14"/>
  <c r="I138" i="14" s="1"/>
  <c r="I137" i="14"/>
  <c r="G140" i="14" l="1"/>
  <c r="H139" i="14"/>
  <c r="I139" i="14" s="1"/>
  <c r="G141" i="14" l="1"/>
  <c r="H140" i="14"/>
  <c r="I140" i="14" s="1"/>
  <c r="G142" i="14" l="1"/>
  <c r="H141" i="14"/>
  <c r="I141" i="14" s="1"/>
  <c r="H142" i="14" l="1"/>
  <c r="I142" i="14" s="1"/>
  <c r="G143" i="14"/>
  <c r="G144" i="14" l="1"/>
  <c r="H143" i="14"/>
  <c r="I143" i="14" s="1"/>
  <c r="G145" i="14" l="1"/>
  <c r="H144" i="14"/>
  <c r="I144" i="14" s="1"/>
  <c r="G146" i="14" l="1"/>
  <c r="H145" i="14"/>
  <c r="I145" i="14" l="1"/>
  <c r="J145" i="14" s="1"/>
  <c r="N13" i="14"/>
  <c r="G147" i="14"/>
  <c r="H146" i="14"/>
  <c r="G148" i="14" l="1"/>
  <c r="H147" i="14"/>
  <c r="I147" i="14" s="1"/>
  <c r="I146" i="14"/>
  <c r="H148" i="14" l="1"/>
  <c r="G149" i="14"/>
  <c r="G150" i="14" l="1"/>
  <c r="H149" i="14"/>
  <c r="I149" i="14" s="1"/>
  <c r="I148" i="14"/>
  <c r="G151" i="14" l="1"/>
  <c r="H150" i="14"/>
  <c r="I150" i="14" l="1"/>
  <c r="H151" i="14"/>
  <c r="I151" i="14" s="1"/>
  <c r="G152" i="14"/>
  <c r="H152" i="14" l="1"/>
  <c r="I152" i="14" s="1"/>
  <c r="G153" i="14"/>
  <c r="H153" i="14" l="1"/>
  <c r="I153" i="14" s="1"/>
  <c r="G154" i="14"/>
  <c r="H154" i="14" l="1"/>
  <c r="I154" i="14" s="1"/>
  <c r="G155" i="14"/>
  <c r="G156" i="14" l="1"/>
  <c r="H155" i="14"/>
  <c r="I155" i="14" s="1"/>
  <c r="G157" i="14" l="1"/>
  <c r="H156" i="14"/>
  <c r="I156" i="14" s="1"/>
  <c r="H157" i="14" l="1"/>
  <c r="G158" i="14"/>
  <c r="G159" i="14" l="1"/>
  <c r="H158" i="14"/>
  <c r="I157" i="14"/>
  <c r="J157" i="14" s="1"/>
  <c r="N14" i="14"/>
  <c r="I158" i="14" l="1"/>
  <c r="G160" i="14"/>
  <c r="H159" i="14"/>
  <c r="I159" i="14" s="1"/>
  <c r="H160" i="14" l="1"/>
  <c r="I160" i="14" s="1"/>
  <c r="G161" i="14"/>
  <c r="G162" i="14" l="1"/>
  <c r="H161" i="14"/>
  <c r="I161" i="14" l="1"/>
  <c r="G163" i="14"/>
  <c r="H162" i="14"/>
  <c r="I162" i="14" s="1"/>
  <c r="H163" i="14" l="1"/>
  <c r="I163" i="14" s="1"/>
  <c r="G164" i="14"/>
  <c r="H164" i="14" l="1"/>
  <c r="I164" i="14" s="1"/>
  <c r="G165" i="14"/>
  <c r="G166" i="14" l="1"/>
  <c r="H165" i="14"/>
  <c r="I165" i="14" s="1"/>
  <c r="H166" i="14" l="1"/>
  <c r="I166" i="14" s="1"/>
  <c r="G167" i="14"/>
  <c r="G168" i="14" l="1"/>
  <c r="H167" i="14"/>
  <c r="I167" i="14" s="1"/>
  <c r="H168" i="14" l="1"/>
  <c r="I168" i="14" s="1"/>
  <c r="G169" i="14"/>
  <c r="G170" i="14" l="1"/>
  <c r="H169" i="14"/>
  <c r="I169" i="14" l="1"/>
  <c r="J169" i="14" s="1"/>
  <c r="N15" i="14"/>
  <c r="G171" i="14"/>
  <c r="H170" i="14"/>
  <c r="I170" i="14" l="1"/>
  <c r="G172" i="14"/>
  <c r="H171" i="14"/>
  <c r="I171" i="14" s="1"/>
  <c r="H172" i="14" l="1"/>
  <c r="I172" i="14" s="1"/>
  <c r="G173" i="14"/>
  <c r="G174" i="14" l="1"/>
  <c r="H173" i="14"/>
  <c r="I173" i="14" l="1"/>
  <c r="G175" i="14"/>
  <c r="H174" i="14"/>
  <c r="I174" i="14" s="1"/>
  <c r="G176" i="14" l="1"/>
  <c r="H175" i="14"/>
  <c r="I175" i="14" s="1"/>
  <c r="H176" i="14" l="1"/>
  <c r="I176" i="14" s="1"/>
  <c r="G177" i="14"/>
  <c r="H177" i="14" l="1"/>
  <c r="I177" i="14" s="1"/>
  <c r="G178" i="14"/>
  <c r="H178" i="14" l="1"/>
  <c r="I178" i="14" s="1"/>
  <c r="G179" i="14"/>
  <c r="H179" i="14" l="1"/>
  <c r="I179" i="14" s="1"/>
  <c r="G180" i="14"/>
  <c r="H180" i="14" l="1"/>
  <c r="I180" i="14" s="1"/>
  <c r="G181" i="14"/>
  <c r="H181" i="14" l="1"/>
  <c r="G182" i="14"/>
  <c r="G183" i="14" l="1"/>
  <c r="H182" i="14"/>
  <c r="I181" i="14"/>
  <c r="J181" i="14" s="1"/>
  <c r="N16" i="14"/>
  <c r="I182" i="14" l="1"/>
  <c r="G184" i="14"/>
  <c r="H183" i="14"/>
  <c r="I183" i="14" s="1"/>
  <c r="G185" i="14" l="1"/>
  <c r="H184" i="14"/>
  <c r="I184" i="14" s="1"/>
  <c r="G186" i="14" l="1"/>
  <c r="H185" i="14"/>
  <c r="I185" i="14" l="1"/>
  <c r="G187" i="14"/>
  <c r="H186" i="14"/>
  <c r="I186" i="14" s="1"/>
  <c r="H187" i="14" l="1"/>
  <c r="I187" i="14" s="1"/>
  <c r="G188" i="14"/>
  <c r="H188" i="14" l="1"/>
  <c r="I188" i="14" s="1"/>
  <c r="G189" i="14"/>
  <c r="G190" i="14" l="1"/>
  <c r="H189" i="14"/>
  <c r="I189" i="14" s="1"/>
  <c r="H190" i="14" l="1"/>
  <c r="I190" i="14" s="1"/>
  <c r="G191" i="14"/>
  <c r="G192" i="14" l="1"/>
  <c r="H191" i="14"/>
  <c r="I191" i="14" s="1"/>
  <c r="H192" i="14" l="1"/>
  <c r="I192" i="14" s="1"/>
  <c r="G193" i="14"/>
  <c r="H193" i="14" l="1"/>
  <c r="G194" i="14"/>
  <c r="G195" i="14" l="1"/>
  <c r="H194" i="14"/>
  <c r="I193" i="14"/>
  <c r="J193" i="14" s="1"/>
  <c r="N17" i="14"/>
  <c r="I194" i="14" l="1"/>
  <c r="H195" i="14"/>
  <c r="I195" i="14" s="1"/>
  <c r="G196" i="14"/>
  <c r="G197" i="14" l="1"/>
  <c r="H196" i="14"/>
  <c r="I196" i="14" s="1"/>
  <c r="G198" i="14" l="1"/>
  <c r="H197" i="14"/>
  <c r="H198" i="14" l="1"/>
  <c r="I198" i="14" s="1"/>
  <c r="G199" i="14"/>
  <c r="I197" i="14"/>
  <c r="H199" i="14" l="1"/>
  <c r="I199" i="14" s="1"/>
  <c r="G200" i="14"/>
  <c r="H200" i="14" l="1"/>
  <c r="I200" i="14" s="1"/>
  <c r="G201" i="14"/>
  <c r="H201" i="14" l="1"/>
  <c r="I201" i="14" s="1"/>
  <c r="G202" i="14"/>
  <c r="H202" i="14" l="1"/>
  <c r="I202" i="14" s="1"/>
  <c r="G203" i="14"/>
  <c r="H203" i="14" l="1"/>
  <c r="I203" i="14" s="1"/>
  <c r="G204" i="14"/>
  <c r="H204" i="14" l="1"/>
  <c r="I204" i="14" s="1"/>
  <c r="G205" i="14"/>
  <c r="H205" i="14" l="1"/>
  <c r="G206" i="14"/>
  <c r="G207" i="14" l="1"/>
  <c r="H206" i="14"/>
  <c r="I205" i="14"/>
  <c r="J205" i="14" s="1"/>
  <c r="N18" i="14"/>
  <c r="G208" i="14" l="1"/>
  <c r="H207" i="14"/>
  <c r="I207" i="14" s="1"/>
  <c r="I206" i="14"/>
  <c r="H208" i="14" l="1"/>
  <c r="G209" i="14"/>
  <c r="I208" i="14" l="1"/>
  <c r="H209" i="14"/>
  <c r="I209" i="14" s="1"/>
  <c r="G210" i="14"/>
  <c r="H210" i="14" l="1"/>
  <c r="I210" i="14" s="1"/>
  <c r="G211" i="14"/>
  <c r="G212" i="14" l="1"/>
  <c r="H211" i="14"/>
  <c r="I211" i="14" s="1"/>
  <c r="G213" i="14" l="1"/>
  <c r="H212" i="14"/>
  <c r="I212" i="14" s="1"/>
  <c r="G214" i="14" l="1"/>
  <c r="H213" i="14"/>
  <c r="I213" i="14" s="1"/>
  <c r="G215" i="14" l="1"/>
  <c r="H214" i="14"/>
  <c r="I214" i="14" s="1"/>
  <c r="G216" i="14" l="1"/>
  <c r="H215" i="14"/>
  <c r="I215" i="14" s="1"/>
  <c r="H216" i="14" l="1"/>
  <c r="I216" i="14" s="1"/>
  <c r="G217" i="14"/>
  <c r="H217" i="14" l="1"/>
  <c r="G218" i="14"/>
  <c r="G219" i="14" l="1"/>
  <c r="H218" i="14"/>
  <c r="I217" i="14"/>
  <c r="J217" i="14" s="1"/>
  <c r="N19" i="14"/>
  <c r="I218" i="14" l="1"/>
  <c r="H219" i="14"/>
  <c r="I219" i="14" s="1"/>
  <c r="G220" i="14"/>
  <c r="G221" i="14" l="1"/>
  <c r="H220" i="14"/>
  <c r="I220" i="14" s="1"/>
  <c r="H221" i="14" l="1"/>
  <c r="G222" i="14"/>
  <c r="G223" i="14" l="1"/>
  <c r="H222" i="14"/>
  <c r="I222" i="14" s="1"/>
  <c r="I221" i="14"/>
  <c r="G224" i="14" l="1"/>
  <c r="H223" i="14"/>
  <c r="I223" i="14" s="1"/>
  <c r="H224" i="14" l="1"/>
  <c r="I224" i="14" s="1"/>
  <c r="G225" i="14"/>
  <c r="H225" i="14" l="1"/>
  <c r="I225" i="14" s="1"/>
  <c r="G226" i="14"/>
  <c r="H226" i="14" l="1"/>
  <c r="I226" i="14" s="1"/>
  <c r="G227" i="14"/>
  <c r="G228" i="14" l="1"/>
  <c r="H227" i="14"/>
  <c r="I227" i="14" s="1"/>
  <c r="G229" i="14" l="1"/>
  <c r="H228" i="14"/>
  <c r="I228" i="14" s="1"/>
  <c r="H229" i="14" l="1"/>
  <c r="G230" i="14"/>
  <c r="G231" i="14" l="1"/>
  <c r="H230" i="14"/>
  <c r="I229" i="14"/>
  <c r="J229" i="14" s="1"/>
  <c r="N20" i="14"/>
  <c r="I230" i="14" l="1"/>
  <c r="G232" i="14"/>
  <c r="H231" i="14"/>
  <c r="I231" i="14" s="1"/>
  <c r="G233" i="14" l="1"/>
  <c r="H232" i="14"/>
  <c r="I232" i="14" s="1"/>
  <c r="G234" i="14" l="1"/>
  <c r="H233" i="14"/>
  <c r="I233" i="14" l="1"/>
  <c r="H234" i="14"/>
  <c r="I234" i="14" s="1"/>
  <c r="G235" i="14"/>
  <c r="G236" i="14" l="1"/>
  <c r="H235" i="14"/>
  <c r="I235" i="14" s="1"/>
  <c r="H236" i="14" l="1"/>
  <c r="I236" i="14" s="1"/>
  <c r="G237" i="14"/>
  <c r="H237" i="14" l="1"/>
  <c r="I237" i="14" s="1"/>
  <c r="G238" i="14"/>
  <c r="H238" i="14" l="1"/>
  <c r="I238" i="14" s="1"/>
  <c r="G239" i="14"/>
  <c r="G240" i="14" l="1"/>
  <c r="H239" i="14"/>
  <c r="I239" i="14" s="1"/>
  <c r="G241" i="14" l="1"/>
  <c r="H240" i="14"/>
  <c r="I240" i="14" s="1"/>
  <c r="H241" i="14" l="1"/>
  <c r="G242" i="14"/>
  <c r="H242" i="14" l="1"/>
  <c r="G243" i="14"/>
  <c r="I241" i="14"/>
  <c r="J241" i="14" s="1"/>
  <c r="N21" i="14"/>
  <c r="I242" i="14" l="1"/>
  <c r="H243" i="14"/>
  <c r="I243" i="14" s="1"/>
  <c r="G244" i="14"/>
  <c r="H244" i="14" l="1"/>
  <c r="I244" i="14" s="1"/>
  <c r="G245" i="14"/>
  <c r="G246" i="14" l="1"/>
  <c r="H245" i="14"/>
  <c r="I245" i="14" s="1"/>
  <c r="G247" i="14" l="1"/>
  <c r="H246" i="14"/>
  <c r="I246" i="14" s="1"/>
  <c r="H247" i="14" l="1"/>
  <c r="I247" i="14" s="1"/>
  <c r="G248" i="14"/>
  <c r="G249" i="14" l="1"/>
  <c r="H248" i="14"/>
  <c r="I248" i="14" s="1"/>
  <c r="G250" i="14" l="1"/>
  <c r="H249" i="14"/>
  <c r="I249" i="14" s="1"/>
  <c r="H250" i="14" l="1"/>
  <c r="I250" i="14" s="1"/>
  <c r="G251" i="14"/>
  <c r="H251" i="14" l="1"/>
  <c r="I251" i="14" s="1"/>
  <c r="G252" i="14"/>
  <c r="H252" i="14" l="1"/>
  <c r="I252" i="14" s="1"/>
  <c r="G253" i="14"/>
  <c r="G254" i="14" l="1"/>
  <c r="H253" i="14"/>
  <c r="I253" i="14" l="1"/>
  <c r="J253" i="14" s="1"/>
  <c r="N22" i="14"/>
  <c r="G255" i="14"/>
  <c r="H254" i="14"/>
  <c r="I254" i="14" l="1"/>
  <c r="H255" i="14"/>
  <c r="I255" i="14" s="1"/>
  <c r="G256" i="14"/>
  <c r="H256" i="14" l="1"/>
  <c r="I256" i="14" s="1"/>
  <c r="G257" i="14"/>
  <c r="G258" i="14" l="1"/>
  <c r="H257" i="14"/>
  <c r="I257" i="14" s="1"/>
  <c r="G259" i="14" l="1"/>
  <c r="H258" i="14"/>
  <c r="I258" i="14" s="1"/>
  <c r="G260" i="14" l="1"/>
  <c r="H259" i="14"/>
  <c r="I259" i="14" s="1"/>
  <c r="H260" i="14" l="1"/>
  <c r="I260" i="14" s="1"/>
  <c r="G261" i="14"/>
  <c r="G262" i="14" l="1"/>
  <c r="H261" i="14"/>
  <c r="I261" i="14" s="1"/>
  <c r="G263" i="14" l="1"/>
  <c r="H262" i="14"/>
  <c r="I262" i="14" s="1"/>
  <c r="H263" i="14" l="1"/>
  <c r="I263" i="14" s="1"/>
  <c r="G264" i="14"/>
  <c r="G265" i="14" l="1"/>
  <c r="H264" i="14"/>
  <c r="I264" i="14" s="1"/>
  <c r="H265" i="14" l="1"/>
  <c r="G266" i="14"/>
  <c r="I265" i="14" l="1"/>
  <c r="J265" i="14" s="1"/>
  <c r="N23" i="14"/>
  <c r="G267" i="14"/>
  <c r="H266" i="14"/>
  <c r="I266" i="14" l="1"/>
  <c r="G268" i="14"/>
  <c r="H267" i="14"/>
  <c r="I267" i="14" s="1"/>
  <c r="H268" i="14" l="1"/>
  <c r="I268" i="14" s="1"/>
  <c r="G269" i="14"/>
  <c r="H269" i="14" l="1"/>
  <c r="I269" i="14" s="1"/>
  <c r="G270" i="14"/>
  <c r="G271" i="14" l="1"/>
  <c r="H270" i="14"/>
  <c r="I270" i="14" s="1"/>
  <c r="G272" i="14" l="1"/>
  <c r="H271" i="14"/>
  <c r="I271" i="14" s="1"/>
  <c r="G273" i="14" l="1"/>
  <c r="H272" i="14"/>
  <c r="I272" i="14" s="1"/>
  <c r="H273" i="14" l="1"/>
  <c r="I273" i="14" s="1"/>
  <c r="G274" i="14"/>
  <c r="G275" i="14" l="1"/>
  <c r="H274" i="14"/>
  <c r="I274" i="14" s="1"/>
  <c r="G276" i="14" l="1"/>
  <c r="H275" i="14"/>
  <c r="I275" i="14" s="1"/>
  <c r="H276" i="14" l="1"/>
  <c r="I276" i="14" s="1"/>
  <c r="G277" i="14"/>
  <c r="G278" i="14" l="1"/>
  <c r="H277" i="14"/>
  <c r="I277" i="14" l="1"/>
  <c r="J277" i="14" s="1"/>
  <c r="N24" i="14"/>
  <c r="H278" i="14"/>
  <c r="G279" i="14"/>
  <c r="I278" i="14" l="1"/>
  <c r="G280" i="14"/>
  <c r="H279" i="14"/>
  <c r="I279" i="14" s="1"/>
  <c r="G281" i="14" l="1"/>
  <c r="H280" i="14"/>
  <c r="I280" i="14" s="1"/>
  <c r="H281" i="14" l="1"/>
  <c r="I281" i="14" s="1"/>
  <c r="G282" i="14"/>
  <c r="H282" i="14" l="1"/>
  <c r="I282" i="14" s="1"/>
  <c r="G283" i="14"/>
  <c r="G284" i="14" l="1"/>
  <c r="H283" i="14"/>
  <c r="I283" i="14" s="1"/>
  <c r="G285" i="14" l="1"/>
  <c r="H284" i="14"/>
  <c r="I284" i="14" s="1"/>
  <c r="H285" i="14" l="1"/>
  <c r="I285" i="14" s="1"/>
  <c r="G286" i="14"/>
  <c r="H286" i="14" l="1"/>
  <c r="I286" i="14" s="1"/>
  <c r="G287" i="14"/>
  <c r="G288" i="14" l="1"/>
  <c r="H287" i="14"/>
  <c r="I287" i="14" s="1"/>
  <c r="G289" i="14" l="1"/>
  <c r="H288" i="14"/>
  <c r="I288" i="14" s="1"/>
  <c r="H289" i="14" l="1"/>
  <c r="G290" i="14"/>
  <c r="I289" i="14" l="1"/>
  <c r="J289" i="14" s="1"/>
  <c r="N25" i="14"/>
  <c r="H290" i="14"/>
  <c r="G291" i="14"/>
  <c r="I290" i="14" l="1"/>
  <c r="G292" i="14"/>
  <c r="H291" i="14"/>
  <c r="I291" i="14" s="1"/>
  <c r="G293" i="14" l="1"/>
  <c r="H292" i="14"/>
  <c r="I292" i="14" s="1"/>
  <c r="G294" i="14" l="1"/>
  <c r="H293" i="14"/>
  <c r="I293" i="14" s="1"/>
  <c r="H294" i="14" l="1"/>
  <c r="I294" i="14" s="1"/>
  <c r="G295" i="14"/>
  <c r="H295" i="14" l="1"/>
  <c r="I295" i="14" s="1"/>
  <c r="G296" i="14"/>
  <c r="G297" i="14" l="1"/>
  <c r="H296" i="14"/>
  <c r="I296" i="14" s="1"/>
  <c r="G298" i="14" l="1"/>
  <c r="H297" i="14"/>
  <c r="I297" i="14" s="1"/>
  <c r="G299" i="14" l="1"/>
  <c r="H298" i="14"/>
  <c r="I298" i="14" s="1"/>
  <c r="H299" i="14" l="1"/>
  <c r="I299" i="14" s="1"/>
  <c r="G300" i="14"/>
  <c r="G301" i="14" l="1"/>
  <c r="H300" i="14"/>
  <c r="I300" i="14" s="1"/>
  <c r="G302" i="14" l="1"/>
  <c r="H301" i="14"/>
  <c r="I301" i="14" l="1"/>
  <c r="J301" i="14" s="1"/>
  <c r="N26" i="14"/>
  <c r="G303" i="14"/>
  <c r="H302" i="14"/>
  <c r="I302" i="14" l="1"/>
  <c r="G304" i="14"/>
  <c r="H303" i="14"/>
  <c r="I303" i="14" s="1"/>
  <c r="H304" i="14" l="1"/>
  <c r="I304" i="14" s="1"/>
  <c r="G305" i="14"/>
  <c r="G306" i="14" l="1"/>
  <c r="H305" i="14"/>
  <c r="I305" i="14" s="1"/>
  <c r="G307" i="14" l="1"/>
  <c r="H306" i="14"/>
  <c r="I306" i="14" s="1"/>
  <c r="H307" i="14" l="1"/>
  <c r="I307" i="14" s="1"/>
  <c r="G308" i="14"/>
  <c r="H308" i="14" l="1"/>
  <c r="I308" i="14" s="1"/>
  <c r="G309" i="14"/>
  <c r="G310" i="14" l="1"/>
  <c r="H309" i="14"/>
  <c r="I309" i="14" s="1"/>
  <c r="G311" i="14" l="1"/>
  <c r="H310" i="14"/>
  <c r="I310" i="14" s="1"/>
  <c r="G312" i="14" l="1"/>
  <c r="H311" i="14"/>
  <c r="I311" i="14" s="1"/>
  <c r="H312" i="14" l="1"/>
  <c r="I312" i="14" s="1"/>
  <c r="G313" i="14"/>
  <c r="G314" i="14" l="1"/>
  <c r="H313" i="14"/>
  <c r="I313" i="14" l="1"/>
  <c r="J313" i="14" s="1"/>
  <c r="N27" i="14"/>
  <c r="G315" i="14"/>
  <c r="H314" i="14"/>
  <c r="I314" i="14" l="1"/>
  <c r="G316" i="14"/>
  <c r="H315" i="14"/>
  <c r="I315" i="14" s="1"/>
  <c r="H316" i="14" l="1"/>
  <c r="I316" i="14" s="1"/>
  <c r="G317" i="14"/>
  <c r="H317" i="14" l="1"/>
  <c r="I317" i="14" s="1"/>
  <c r="G318" i="14"/>
  <c r="H318" i="14" l="1"/>
  <c r="I318" i="14" s="1"/>
  <c r="G319" i="14"/>
  <c r="H319" i="14" l="1"/>
  <c r="I319" i="14" s="1"/>
  <c r="G320" i="14"/>
  <c r="H320" i="14" l="1"/>
  <c r="I320" i="14" s="1"/>
  <c r="G321" i="14"/>
  <c r="H321" i="14" l="1"/>
  <c r="I321" i="14" s="1"/>
  <c r="G322" i="14"/>
  <c r="G323" i="14" l="1"/>
  <c r="H322" i="14"/>
  <c r="I322" i="14" s="1"/>
  <c r="H323" i="14" l="1"/>
  <c r="I323" i="14" s="1"/>
  <c r="G324" i="14"/>
  <c r="G325" i="14" l="1"/>
  <c r="H324" i="14"/>
  <c r="I324" i="14" s="1"/>
  <c r="H325" i="14" l="1"/>
  <c r="G326" i="14"/>
  <c r="I325" i="14" l="1"/>
  <c r="J325" i="14" s="1"/>
  <c r="N28" i="14"/>
  <c r="H326" i="14"/>
  <c r="G327" i="14"/>
  <c r="I326" i="14" l="1"/>
  <c r="G328" i="14"/>
  <c r="H327" i="14"/>
  <c r="I327" i="14" s="1"/>
  <c r="H328" i="14" l="1"/>
  <c r="I328" i="14" s="1"/>
  <c r="G329" i="14"/>
  <c r="H329" i="14" l="1"/>
  <c r="I329" i="14" s="1"/>
  <c r="G330" i="14"/>
  <c r="G331" i="14" l="1"/>
  <c r="H330" i="14"/>
  <c r="I330" i="14" s="1"/>
  <c r="G332" i="14" l="1"/>
  <c r="H331" i="14"/>
  <c r="I331" i="14" s="1"/>
  <c r="G333" i="14" l="1"/>
  <c r="H332" i="14"/>
  <c r="I332" i="14" s="1"/>
  <c r="H333" i="14" l="1"/>
  <c r="I333" i="14" s="1"/>
  <c r="G334" i="14"/>
  <c r="G335" i="14" l="1"/>
  <c r="H334" i="14"/>
  <c r="I334" i="14" s="1"/>
  <c r="G336" i="14" l="1"/>
  <c r="H335" i="14"/>
  <c r="I335" i="14" s="1"/>
  <c r="G337" i="14" l="1"/>
  <c r="H336" i="14"/>
  <c r="I336" i="14" s="1"/>
  <c r="H337" i="14" l="1"/>
  <c r="G338" i="14"/>
  <c r="I337" i="14" l="1"/>
  <c r="J337" i="14" s="1"/>
  <c r="N29" i="14"/>
  <c r="H338" i="14"/>
  <c r="G339" i="14"/>
  <c r="I338" i="14" l="1"/>
  <c r="H339" i="14"/>
  <c r="I339" i="14" s="1"/>
  <c r="G340" i="14"/>
  <c r="G341" i="14" l="1"/>
  <c r="H340" i="14"/>
  <c r="I340" i="14" s="1"/>
  <c r="G342" i="14" l="1"/>
  <c r="H341" i="14"/>
  <c r="I341" i="14" s="1"/>
  <c r="G343" i="14" l="1"/>
  <c r="H342" i="14"/>
  <c r="I342" i="14" s="1"/>
  <c r="H343" i="14" l="1"/>
  <c r="I343" i="14" s="1"/>
  <c r="G344" i="14"/>
  <c r="H344" i="14" l="1"/>
  <c r="I344" i="14" s="1"/>
  <c r="G345" i="14"/>
  <c r="H345" i="14" l="1"/>
  <c r="I345" i="14" s="1"/>
  <c r="G346" i="14"/>
  <c r="H346" i="14" l="1"/>
  <c r="I346" i="14" s="1"/>
  <c r="G347" i="14"/>
  <c r="G348" i="14" l="1"/>
  <c r="H347" i="14"/>
  <c r="I347" i="14" s="1"/>
  <c r="G349" i="14" l="1"/>
  <c r="H348" i="14"/>
  <c r="I348" i="14" s="1"/>
  <c r="H349" i="14" l="1"/>
  <c r="G350" i="14"/>
  <c r="I349" i="14" l="1"/>
  <c r="J349" i="14" s="1"/>
  <c r="N30" i="14"/>
  <c r="G351" i="14"/>
  <c r="H350" i="14"/>
  <c r="I350" i="14" l="1"/>
  <c r="H351" i="14"/>
  <c r="I351" i="14" s="1"/>
  <c r="G352" i="14"/>
  <c r="G353" i="14" l="1"/>
  <c r="H352" i="14"/>
  <c r="I352" i="14" s="1"/>
  <c r="G354" i="14" l="1"/>
  <c r="H353" i="14"/>
  <c r="I353" i="14" l="1"/>
  <c r="G355" i="14"/>
  <c r="H354" i="14"/>
  <c r="I354" i="14" s="1"/>
  <c r="H355" i="14" l="1"/>
  <c r="I355" i="14" s="1"/>
  <c r="G356" i="14"/>
  <c r="H356" i="14" l="1"/>
  <c r="G357" i="14"/>
  <c r="G358" i="14" l="1"/>
  <c r="H357" i="14"/>
  <c r="I357" i="14" s="1"/>
  <c r="I356" i="14"/>
  <c r="H358" i="14" l="1"/>
  <c r="I358" i="14" s="1"/>
  <c r="G359" i="14"/>
  <c r="H359" i="14" l="1"/>
  <c r="I359" i="14" s="1"/>
  <c r="G360" i="14"/>
  <c r="G361" i="14" l="1"/>
  <c r="H361" i="14" s="1"/>
  <c r="H360" i="14"/>
  <c r="I360" i="14" s="1"/>
  <c r="N31" i="14" l="1"/>
  <c r="N32" i="14" s="1"/>
  <c r="I361" i="14"/>
  <c r="J361" i="14" s="1"/>
  <c r="D14" i="10"/>
  <c r="E14" i="10" s="1"/>
  <c r="E14" i="13"/>
  <c r="E15" i="13" s="1"/>
  <c r="E188" i="13" l="1"/>
  <c r="G15" i="13"/>
  <c r="G188" i="13" s="1"/>
  <c r="D12" i="10"/>
  <c r="E12" i="10" s="1"/>
  <c r="E187" i="13"/>
  <c r="D13" i="10"/>
  <c r="E13" i="10" s="1"/>
  <c r="E11" i="13"/>
  <c r="G11" i="13" l="1"/>
  <c r="H6" i="5" s="1"/>
  <c r="E16" i="10"/>
  <c r="C23" i="10" s="1"/>
  <c r="F23" i="10" s="1"/>
  <c r="F6" i="5"/>
  <c r="E184" i="13"/>
  <c r="F36" i="5" s="1"/>
  <c r="A53" i="15"/>
  <c r="B53" i="15" s="1"/>
  <c r="B51" i="5"/>
  <c r="I51" i="5" s="1"/>
  <c r="B25" i="16"/>
  <c r="E25" i="16" s="1"/>
  <c r="L16" i="19"/>
  <c r="E19" i="15"/>
  <c r="B19" i="15" s="1"/>
  <c r="C14" i="16"/>
  <c r="D14" i="16" s="1"/>
  <c r="M15" i="19"/>
  <c r="B49" i="5"/>
  <c r="I49" i="5" s="1"/>
  <c r="G184" i="13" l="1"/>
  <c r="H36" i="5" s="1"/>
  <c r="I78" i="5"/>
  <c r="E42" i="19" s="1"/>
  <c r="M42" i="19" s="1"/>
  <c r="G19" i="15"/>
  <c r="E12" i="19" s="1"/>
  <c r="L12" i="19" s="1"/>
  <c r="C13" i="16"/>
  <c r="D13" i="16" s="1"/>
  <c r="N16" i="19"/>
  <c r="M16" i="19"/>
  <c r="L15" i="19"/>
  <c r="N15" i="19"/>
  <c r="H19" i="15"/>
  <c r="D19" i="15" s="1"/>
  <c r="D25" i="15" s="1"/>
  <c r="B39" i="15" s="1"/>
  <c r="D39" i="15" s="1"/>
  <c r="E6" i="19" s="1"/>
  <c r="C15" i="16"/>
  <c r="D15" i="16" s="1"/>
  <c r="D17" i="16" l="1"/>
  <c r="B24" i="16" s="1"/>
  <c r="E24" i="16" s="1"/>
  <c r="E19" i="19" s="1"/>
  <c r="M19" i="19" s="1"/>
  <c r="N42" i="19"/>
  <c r="L42" i="19"/>
  <c r="M12" i="19"/>
  <c r="N12" i="19"/>
  <c r="L6" i="19"/>
  <c r="L51" i="19" s="1"/>
  <c r="D5" i="20" s="1"/>
  <c r="N6" i="19"/>
  <c r="M6" i="19"/>
  <c r="F8" i="9"/>
  <c r="F11" i="9"/>
  <c r="E15" i="9"/>
  <c r="F12" i="9"/>
  <c r="C10" i="9"/>
  <c r="D10" i="15" s="1"/>
  <c r="F10" i="15" s="1"/>
  <c r="G10" i="15" s="1"/>
  <c r="F10" i="9"/>
  <c r="C11" i="9"/>
  <c r="D11" i="15" s="1"/>
  <c r="F11" i="15" s="1"/>
  <c r="G11" i="15" s="1"/>
  <c r="C12" i="9"/>
  <c r="D12" i="15" s="1"/>
  <c r="F12" i="15" s="1"/>
  <c r="G12" i="15" s="1"/>
  <c r="C9" i="9"/>
  <c r="D9" i="15" s="1"/>
  <c r="F9" i="15" s="1"/>
  <c r="G9" i="15" s="1"/>
  <c r="F9" i="9"/>
  <c r="C13" i="9"/>
  <c r="F13" i="9"/>
  <c r="C8" i="9"/>
  <c r="D8" i="15" s="1"/>
  <c r="F8" i="15" s="1"/>
  <c r="G8" i="15" s="1"/>
  <c r="L19" i="19" l="1"/>
  <c r="N19" i="19"/>
  <c r="F15" i="9"/>
  <c r="B35" i="9"/>
</calcChain>
</file>

<file path=xl/sharedStrings.xml><?xml version="1.0" encoding="utf-8"?>
<sst xmlns="http://schemas.openxmlformats.org/spreadsheetml/2006/main" count="1048" uniqueCount="489">
  <si>
    <t>Bedrijfsgegevens</t>
  </si>
  <si>
    <t>Naam</t>
  </si>
  <si>
    <t>Adres</t>
  </si>
  <si>
    <t>Woonplaats</t>
  </si>
  <si>
    <t>Gemiddelde veebezetting</t>
  </si>
  <si>
    <t>Aantal</t>
  </si>
  <si>
    <t>Categorie</t>
  </si>
  <si>
    <t>GVE</t>
  </si>
  <si>
    <t>Totaal</t>
  </si>
  <si>
    <t>Melkvee</t>
  </si>
  <si>
    <t>Jongvee &lt;1</t>
  </si>
  <si>
    <t>Jongvee &gt;1</t>
  </si>
  <si>
    <t>Weide- en zoogkoeien</t>
  </si>
  <si>
    <t>Melkproductie</t>
  </si>
  <si>
    <t>305 dagenproductie</t>
  </si>
  <si>
    <t>kg</t>
  </si>
  <si>
    <t>% vet</t>
  </si>
  <si>
    <t>% eiwit</t>
  </si>
  <si>
    <t>Afgeleverde kg melk</t>
  </si>
  <si>
    <t>Aantal ha eigendom</t>
  </si>
  <si>
    <t>Aantal ha landurige pacht</t>
  </si>
  <si>
    <t>Aantal ha natuurpacht</t>
  </si>
  <si>
    <t>Mogelijkheid</t>
  </si>
  <si>
    <t>Prijs</t>
  </si>
  <si>
    <t>Kopen</t>
  </si>
  <si>
    <t>Opbrengsten</t>
  </si>
  <si>
    <t>Per 100 kg melk</t>
  </si>
  <si>
    <t>Per GVE</t>
  </si>
  <si>
    <t>Per ha</t>
  </si>
  <si>
    <t>Omzet melk</t>
  </si>
  <si>
    <t>Omzet en aanwas rundvee</t>
  </si>
  <si>
    <t>Omzet akkerbouwproducten</t>
  </si>
  <si>
    <t>Overige bedrijfsopbrengsten</t>
  </si>
  <si>
    <t>Toegerekende kosten</t>
  </si>
  <si>
    <t>Veevoer rundvee</t>
  </si>
  <si>
    <t>- Krachtvoer</t>
  </si>
  <si>
    <t>- Ruwvoer</t>
  </si>
  <si>
    <t>- Overig voer en voorraadmutatie</t>
  </si>
  <si>
    <t>Energie</t>
  </si>
  <si>
    <t>Gewasbeschermingsmiddelen</t>
  </si>
  <si>
    <t>Kunstmeststoffen</t>
  </si>
  <si>
    <t>Zaden, plant- en pootgoed</t>
  </si>
  <si>
    <t>Veekosten rundvee</t>
  </si>
  <si>
    <t>Mestkosten</t>
  </si>
  <si>
    <t>Saldo</t>
  </si>
  <si>
    <t>Niet toegerekende kosten</t>
  </si>
  <si>
    <t>Loonwerk</t>
  </si>
  <si>
    <t>Lonen en salarissen</t>
  </si>
  <si>
    <t>Sociale lasten</t>
  </si>
  <si>
    <t>Afschrijving vaste activa</t>
  </si>
  <si>
    <t>Huisvestingskosten</t>
  </si>
  <si>
    <t>Huren/pachten</t>
  </si>
  <si>
    <t>Leasekosten productierechten</t>
  </si>
  <si>
    <t>Inventaris- en machinekosten</t>
  </si>
  <si>
    <t>Kosten vervoermiddelen</t>
  </si>
  <si>
    <t>Algemene kosten</t>
  </si>
  <si>
    <t>Bedrijfsresultaat</t>
  </si>
  <si>
    <t>Financiële baten en lasten</t>
  </si>
  <si>
    <t>Opbrengsten van financiële vaste activa</t>
  </si>
  <si>
    <t>Rentebaten en soortgelijke opbrengsten</t>
  </si>
  <si>
    <t>Rentelasten en soortgelijke kosten</t>
  </si>
  <si>
    <t>Resultaat</t>
  </si>
  <si>
    <t>Jaarlijkse priveontrekking</t>
  </si>
  <si>
    <t>Reserveringscapaciteit</t>
  </si>
  <si>
    <t>Jaarlijkse aflossing</t>
  </si>
  <si>
    <t>Vervangingsinvesteringen</t>
  </si>
  <si>
    <t>Marge</t>
  </si>
  <si>
    <t>Kostprijs</t>
  </si>
  <si>
    <t>Grondeigenschappen</t>
  </si>
  <si>
    <t>Aantal ha</t>
  </si>
  <si>
    <t>Gewas</t>
  </si>
  <si>
    <t>ds opbrengst per ha</t>
  </si>
  <si>
    <t>VEM opbrengst</t>
  </si>
  <si>
    <t>Totale ds opbrengst</t>
  </si>
  <si>
    <t>Totale KVEM opbrengst</t>
  </si>
  <si>
    <t>Snijmais</t>
  </si>
  <si>
    <t>Grasland</t>
  </si>
  <si>
    <t>Voederbieten</t>
  </si>
  <si>
    <t>Correctie vers gras</t>
  </si>
  <si>
    <t>Aankoop voer</t>
  </si>
  <si>
    <t>VEM</t>
  </si>
  <si>
    <t>Totaal VEM</t>
  </si>
  <si>
    <t>Totaal per gewas</t>
  </si>
  <si>
    <t>Snijmais kg ds</t>
  </si>
  <si>
    <t>Gras kg ds</t>
  </si>
  <si>
    <t>Krachtvoer</t>
  </si>
  <si>
    <t>Grasklaver</t>
  </si>
  <si>
    <t>Mineralen en kalverpoeder</t>
  </si>
  <si>
    <t>Grasland NIL</t>
  </si>
  <si>
    <t>Overig ruwvoer en bijproducten kg ds</t>
  </si>
  <si>
    <t>Overig</t>
  </si>
  <si>
    <t>Luzerne</t>
  </si>
  <si>
    <t>Veldbonen</t>
  </si>
  <si>
    <t>Krachtvoerprijs</t>
  </si>
  <si>
    <t>Korrelmais</t>
  </si>
  <si>
    <t>VEM behoefte</t>
  </si>
  <si>
    <t>VEM behoefte per dag</t>
  </si>
  <si>
    <t>KVEM behoefte per jaar</t>
  </si>
  <si>
    <t>Granen</t>
  </si>
  <si>
    <t>Jongvee &lt; 1 jaar</t>
  </si>
  <si>
    <t>Jongvee &gt; 1 jaar</t>
  </si>
  <si>
    <t>Percentage grasland</t>
  </si>
  <si>
    <t>Overzicht voederproductie</t>
  </si>
  <si>
    <t>Huidig KVEM tekort of overschot</t>
  </si>
  <si>
    <t>Productie</t>
  </si>
  <si>
    <t>Stikstofproductie</t>
  </si>
  <si>
    <t>CRV mineraal</t>
  </si>
  <si>
    <t>Fosfaatproductie</t>
  </si>
  <si>
    <t>Productie per GVE</t>
  </si>
  <si>
    <t>Stikstof</t>
  </si>
  <si>
    <t>Fosfaat</t>
  </si>
  <si>
    <t>Plaatsingsruimte</t>
  </si>
  <si>
    <t>Grondsoort</t>
  </si>
  <si>
    <t>Totaal ha</t>
  </si>
  <si>
    <t>Kg N per ha uit dierlijke mest</t>
  </si>
  <si>
    <t>Totaal N</t>
  </si>
  <si>
    <t>Zandgrond</t>
  </si>
  <si>
    <t>Kleigrond</t>
  </si>
  <si>
    <t>Veengrond</t>
  </si>
  <si>
    <t>Natuurgrond (niet bemestbaar)</t>
  </si>
  <si>
    <t>Totaal plaatsingsruimte</t>
  </si>
  <si>
    <t>Ha voor plaatsingsruimte</t>
  </si>
  <si>
    <t>Huidig</t>
  </si>
  <si>
    <t>Fosfaatplaatsingsruimte op basis van CRV mineraal</t>
  </si>
  <si>
    <t>Tekort of overschot</t>
  </si>
  <si>
    <t>KG per m3</t>
  </si>
  <si>
    <t>Afzetprijs</t>
  </si>
  <si>
    <t>Kosten</t>
  </si>
  <si>
    <t>Stikstof tekort of overschot</t>
  </si>
  <si>
    <t>Fosfaat tekort of overschot</t>
  </si>
  <si>
    <t>Overzicht</t>
  </si>
  <si>
    <t>Na aanpassing</t>
  </si>
  <si>
    <t>Huidig aantal GVE/ha</t>
  </si>
  <si>
    <t>Toekomstig aantal GVE/ha</t>
  </si>
  <si>
    <t>Extra benodigde hectare voor NIL</t>
  </si>
  <si>
    <t>Aanpassing veestapel voor 2 GVE/ha</t>
  </si>
  <si>
    <t>Aanpassing voor 2 GVE/ha</t>
  </si>
  <si>
    <t>Grond</t>
  </si>
  <si>
    <t>Prijs per ha</t>
  </si>
  <si>
    <t>Aantal hectaren in ONNB</t>
  </si>
  <si>
    <t>Aantal hectaren extra</t>
  </si>
  <si>
    <t>ONNB</t>
  </si>
  <si>
    <t>Jaarlijkse pachtprijs</t>
  </si>
  <si>
    <t>Reguliere pacht</t>
  </si>
  <si>
    <t>Grondregeling Natuurinclusieve Landbouw</t>
  </si>
  <si>
    <t>Natuurpacht</t>
  </si>
  <si>
    <t>Wijzigen veestapel</t>
  </si>
  <si>
    <t>Aantal verminderen</t>
  </si>
  <si>
    <t>Huidige aantal</t>
  </si>
  <si>
    <t>Totaal wijziging</t>
  </si>
  <si>
    <t>Fosfaatrechten over</t>
  </si>
  <si>
    <t>Aantal GVE verminderen</t>
  </si>
  <si>
    <t>Marktprijs fosfaatrechten per kg</t>
  </si>
  <si>
    <t>Opbrengst fosfaatrechten bij verkoop</t>
  </si>
  <si>
    <t>Eenheid</t>
  </si>
  <si>
    <t>Opbrengst</t>
  </si>
  <si>
    <t>B&amp;B per nacht</t>
  </si>
  <si>
    <t>Educatie aan schoolklas (per les/ 1 dagdeel)</t>
  </si>
  <si>
    <t>Dagdeel zorg</t>
  </si>
  <si>
    <t>Zelfzuivelen</t>
  </si>
  <si>
    <t>Prijs per ton Co2</t>
  </si>
  <si>
    <t>Totaalbedrag per jaar</t>
  </si>
  <si>
    <t>Koolstofopslag bij grasland en bouwland</t>
  </si>
  <si>
    <t>Bovenwettelijke beloningen</t>
  </si>
  <si>
    <t>Nee</t>
  </si>
  <si>
    <t>Verplichte aanpassing stalvloer</t>
  </si>
  <si>
    <t>Prijs per dierplaats</t>
  </si>
  <si>
    <t>Aantal dierplaatsen</t>
  </si>
  <si>
    <t>Totale investering</t>
  </si>
  <si>
    <t xml:space="preserve">Roostervloer, cassettes in roosterspleten </t>
  </si>
  <si>
    <t>Natuurinclusieve maatregelen</t>
  </si>
  <si>
    <t>Kosten en baten NIL maatregelen</t>
  </si>
  <si>
    <t xml:space="preserve">Toepasbaar op bedrijf: </t>
  </si>
  <si>
    <t>Ja/ Nee</t>
  </si>
  <si>
    <t>Bodem</t>
  </si>
  <si>
    <t>Info</t>
  </si>
  <si>
    <t>eenheid</t>
  </si>
  <si>
    <t>Opbrengst (per ha)</t>
  </si>
  <si>
    <t>Kosten (per ha)</t>
  </si>
  <si>
    <t>Verschil</t>
  </si>
  <si>
    <t xml:space="preserve">Totaal </t>
  </si>
  <si>
    <t>Vaste rijpaden</t>
  </si>
  <si>
    <t>Niet oogsten onder natte condities</t>
  </si>
  <si>
    <t>Gebruik vroege maïsrassen</t>
  </si>
  <si>
    <t>Gebruik brede banden en lage bandenspanning </t>
  </si>
  <si>
    <t>Toepassen sleepslangbemesting</t>
  </si>
  <si>
    <t>Permanent grasland</t>
  </si>
  <si>
    <t>Niet kerende grondbewerking (NKG)</t>
  </si>
  <si>
    <t xml:space="preserve">Ruimer bouwplan </t>
  </si>
  <si>
    <t>ha</t>
  </si>
  <si>
    <t>Gebruik maken van de vrijstelling bovengronds mest aanwenden</t>
  </si>
  <si>
    <t>Maïs telen bestaande grasmat</t>
  </si>
  <si>
    <t>Compost opbrengen</t>
  </si>
  <si>
    <t>Langzaam afbreekbare koolstof toevoegen aan de bodem  </t>
  </si>
  <si>
    <t>Groenbemesters telen</t>
  </si>
  <si>
    <t>Strorijke dierlijke mest</t>
  </si>
  <si>
    <t>Minder grondbewerkingen  </t>
  </si>
  <si>
    <t>Water</t>
  </si>
  <si>
    <t>Teeltvrije bufferzone langs alle percelen</t>
  </si>
  <si>
    <t>M2</t>
  </si>
  <si>
    <t>Infiltratie greppel aanleggen</t>
  </si>
  <si>
    <t>Ja</t>
  </si>
  <si>
    <t>Stro onderin de kuil    </t>
  </si>
  <si>
    <t>Ha</t>
  </si>
  <si>
    <t>Drainage op orde  </t>
  </si>
  <si>
    <t>Rijenbemesting/ precisiebemesting</t>
  </si>
  <si>
    <t>Mest scheiden in dunne en dikke fractie  </t>
  </si>
  <si>
    <t>Mechanische onkruidbestrijding</t>
  </si>
  <si>
    <t>Tijdelijke waterberging</t>
  </si>
  <si>
    <t>Wateropslag ondergronds</t>
  </si>
  <si>
    <t>Driftreducerende spuittechnieken  </t>
  </si>
  <si>
    <t>Ruimer bouwplan / Andere keuzes in teelt gewas  </t>
  </si>
  <si>
    <t>Wateropslag ondergronds  </t>
  </si>
  <si>
    <t xml:space="preserve">Vaste rijpaden </t>
  </si>
  <si>
    <t>Gebruik brede banden en lage bandenspanning  </t>
  </si>
  <si>
    <t>Vroege maïsrassen   </t>
  </si>
  <si>
    <t xml:space="preserve">Gefaseerd maaien </t>
  </si>
  <si>
    <t>Gefaseerd baggeren</t>
  </si>
  <si>
    <t>Maaien van slootvegetatie met maaikorf   </t>
  </si>
  <si>
    <t>Schuin talud of terras oever</t>
  </si>
  <si>
    <t>Waterpeil verhogen</t>
  </si>
  <si>
    <t>Landschap</t>
  </si>
  <si>
    <t>Erfbeplanting van bomen en struiksoorten</t>
  </si>
  <si>
    <t>In stand houden van greppels en ander natuurlijk microreliëf  </t>
  </si>
  <si>
    <t>Inzaaien kruidenrijk grasland</t>
  </si>
  <si>
    <t xml:space="preserve">Verschralen grasland </t>
  </si>
  <si>
    <t>Inzaaien van verschillende gras-klaver mengsels  </t>
  </si>
  <si>
    <t>Inzaaien akkerranden of FAB-randen</t>
  </si>
  <si>
    <t>Strokenteelt met houtige gewassen  </t>
  </si>
  <si>
    <t>Benutten van overhoeken en geren  </t>
  </si>
  <si>
    <t>Aanleg houtwal, struweel en haag</t>
  </si>
  <si>
    <t>Aanleggen van poelen</t>
  </si>
  <si>
    <t>Het aanleggen van plasdras t.b.v. weidevogels  </t>
  </si>
  <si>
    <t>Het beweiden van natuurgebieden met  grazers  </t>
  </si>
  <si>
    <t>Biodiversiteit</t>
  </si>
  <si>
    <t>Robuuste veerassen</t>
  </si>
  <si>
    <t>Gebruik van resistente gewassen</t>
  </si>
  <si>
    <t>Streven naar rantsoen van 14% eiwit</t>
  </si>
  <si>
    <t>Beperken antibioticum-gebruik  </t>
  </si>
  <si>
    <t>Telen van eiwitrijke gewassen</t>
  </si>
  <si>
    <t>Plaatsen nestkasten vogels  </t>
  </si>
  <si>
    <t>Plaatsen vleermuiskasten  </t>
  </si>
  <si>
    <t>Inzaaien bloemrijke akkerranden FAB randen</t>
  </si>
  <si>
    <t>Aanplanten van bloeiende planten/struiken op het erf  </t>
  </si>
  <si>
    <t>Plaatsen bijenhotel  </t>
  </si>
  <si>
    <t>Uitgesteld maaien</t>
  </si>
  <si>
    <t>Eind juni</t>
  </si>
  <si>
    <t>Mozaïekbeheer  </t>
  </si>
  <si>
    <t>Aanleg plasdras</t>
  </si>
  <si>
    <t>Nestbescherming  </t>
  </si>
  <si>
    <t>Weren predatoren  </t>
  </si>
  <si>
    <t>Verwachte melkprijs</t>
  </si>
  <si>
    <t>Pacht</t>
  </si>
  <si>
    <t>Voeropbrengst</t>
  </si>
  <si>
    <t>Nieuw</t>
  </si>
  <si>
    <t>Oud</t>
  </si>
  <si>
    <t>Verschil t.o.v. 2 GVE/Ha</t>
  </si>
  <si>
    <t>Aantal extra ha</t>
  </si>
  <si>
    <t>Aankoop</t>
  </si>
  <si>
    <t>Extra VEM</t>
  </si>
  <si>
    <t>Meenemen in winst en verlies?</t>
  </si>
  <si>
    <t>Ha plaatsingsruimte</t>
  </si>
  <si>
    <t>NIL</t>
  </si>
  <si>
    <t>Correctie NIL maatregelen</t>
  </si>
  <si>
    <t>Resultaat na correctie NIL</t>
  </si>
  <si>
    <t>Privé onttrekking</t>
  </si>
  <si>
    <t>Correctie fosfaatrechten en verkoop vee (eenmalige opbrengst)</t>
  </si>
  <si>
    <t>Per 100kg melk</t>
  </si>
  <si>
    <t>Gebruiksduur</t>
  </si>
  <si>
    <t>jaar</t>
  </si>
  <si>
    <t>Gewassaldo gras</t>
  </si>
  <si>
    <t>per ha</t>
  </si>
  <si>
    <t>RE prijs</t>
  </si>
  <si>
    <t>KVEM prijs</t>
  </si>
  <si>
    <t>Uitleg formules maatregelen winst of verlies</t>
  </si>
  <si>
    <t>Maatregelen</t>
  </si>
  <si>
    <t>Uitleg</t>
  </si>
  <si>
    <t>verschil</t>
  </si>
  <si>
    <t>Bronvermelding:</t>
  </si>
  <si>
    <t xml:space="preserve"> Kosten voor GPS €10.000,- + €400,- per jaar</t>
  </si>
  <si>
    <t>GPS</t>
  </si>
  <si>
    <t>(Karsten, 2020)</t>
  </si>
  <si>
    <t>Abonnement</t>
  </si>
  <si>
    <t>(de Lijster, et al., Waarderen van bodemwatermaatregelen, 2016)</t>
  </si>
  <si>
    <t>Extra grasopbrengst</t>
  </si>
  <si>
    <t>Totaal per jaar</t>
  </si>
  <si>
    <t>n.n.b.</t>
  </si>
  <si>
    <t xml:space="preserve">Niet oogsten onder natte condities is beter om bodemverichting tegen te gaan. Boeren proberen al zo veel mogelijk te oogsten onder niet natte condities om stuctuur van de bodem te behouden. De verschillen zijn bedrijfsspecifiek en dus moeilijk in geld uit te drukken. </t>
  </si>
  <si>
    <r>
      <t xml:space="preserve">Eerder oogsten geeft een lagere kans op slecht/natte omstandigheden en daarmee slemp en structuurschade. Het gebruik van vroege maïsrassen wordt aangeraden om bodemverdichting tegen te gaan, het waterhoudend vermogen te vergroten en de opname van meststoffen en gewasbeschermingen te bevorderen. </t>
    </r>
    <r>
      <rPr>
        <b/>
        <sz val="11"/>
        <color theme="1"/>
        <rFont val="Calibri"/>
        <family val="2"/>
        <scheme val="minor"/>
      </rPr>
      <t>Deze maatregel heeft geen directe financiële gevolgen voor de bedrijfsvoering</t>
    </r>
    <r>
      <rPr>
        <sz val="11"/>
        <color theme="1"/>
        <rFont val="Calibri"/>
        <family val="2"/>
        <scheme val="minor"/>
      </rPr>
      <t xml:space="preserve"> </t>
    </r>
  </si>
  <si>
    <t>(CLM, 2019)</t>
  </si>
  <si>
    <t>Een investering in een bandendrukwisselsysteem betaalt zich op verschillende manieren terug. Via besparing op brandstof, tijd, bandenslijtage en via de Energie Investeringsaftrek (EIA) van de overheid. Een bandendrukwisselsysteem stond de afgelopen jaren op de energielijst met 41,5% investeringsaftrek. Of het systeem in 2016 ook op de energielijst staat, is medio december nog niet bekend. Qua brandstofbesparing in het veld lopen de waarden uiteen van 7% tot 10%.</t>
  </si>
  <si>
    <t>(Koerhuis, 2015)</t>
  </si>
  <si>
    <r>
      <t>Het uurtarief van sleepslangbemesten is €266,- per uur. Hiervoor zijn er 2 a 3 personen voor nodig. Het uurtarief van zodenbemesten is €139,-. De capaciteit van sleepslangbemesten is hoger.</t>
    </r>
    <r>
      <rPr>
        <b/>
        <sz val="11"/>
        <color theme="1"/>
        <rFont val="Calibri"/>
        <family val="2"/>
        <scheme val="minor"/>
      </rPr>
      <t xml:space="preserve"> De prijs per m3 is ongeveer gelijk, tussen de €2,- en €3,-. Het is bedrijfsafhankelijk of sleepslangbemesten mogelijk is.</t>
    </r>
    <r>
      <rPr>
        <sz val="11"/>
        <color theme="1"/>
        <rFont val="Calibri"/>
        <family val="2"/>
        <scheme val="minor"/>
      </rPr>
      <t xml:space="preserve"> Sleepslangbemesten heeft een positief effect op bodemverdichting.</t>
    </r>
  </si>
  <si>
    <t>(WUR, 2019)</t>
  </si>
  <si>
    <t>(WUR, 2018)</t>
  </si>
  <si>
    <t xml:space="preserve"> </t>
  </si>
  <si>
    <t>Het organische stofgehalte neemt per 10 jaar met twee tot drie procent toe. Wanneer je vruchtwisseling toepast, dus vaak ploegen en andere teelt toepast, zal het organische stofgehalte vrij constant blijven op een duidelijk lager niveau.</t>
  </si>
  <si>
    <t>(Zijlstra, 2018)</t>
  </si>
  <si>
    <t>Gegevens per ha</t>
  </si>
  <si>
    <t>Op basis van de bron zijn de volgende gegevens overgenomen per ha bij NKG maïs</t>
  </si>
  <si>
    <t>(Klompe, van Balen, &amp; de Wolf, 2020)</t>
  </si>
  <si>
    <t>(Wit, 2002)</t>
  </si>
  <si>
    <t>Sojabonen</t>
  </si>
  <si>
    <t>(Visser, 2021)</t>
  </si>
  <si>
    <t>Lupine</t>
  </si>
  <si>
    <t>(Prins, 2015)</t>
  </si>
  <si>
    <t xml:space="preserve">De belangrijkste eisen zijn: geen derogatie terwijl 85% grasland moet zijn, weidegang van jong- en melkvee en het feit dat wanneer niet alle mest op het eigen land kan worden afgezet, de melkproductie niet hoger mag zijn dan 14.000 kilogram melk per hectare. Dat betekent dat het bedrijf al behoorlijk extensief moet zijn. Bij 9000 kilo melk per koe en 25% vervanging staat 14.000 kilo melk per hectare gelijk aan 1,83 GVE. </t>
  </si>
  <si>
    <t>Mais telen in bestaande grasmat</t>
  </si>
  <si>
    <t>KVEM</t>
  </si>
  <si>
    <t>(De Peel, 2018)</t>
  </si>
  <si>
    <t>Mais met na-zaai</t>
  </si>
  <si>
    <t>Extra gewasopbrengst</t>
  </si>
  <si>
    <t>(Wit, Bedrijfseconomische effecten van verhoging van het bodemorganischestofgehalte: compostgebruik in de akkerbouw , 2013)</t>
  </si>
  <si>
    <t>Compostkosten</t>
  </si>
  <si>
    <t>(Attero, 2020)</t>
  </si>
  <si>
    <t>-</t>
  </si>
  <si>
    <t xml:space="preserve">Volgens CLM is het kansrijk om houtsnippers te composteren en deze te vermengen met mest, zodat een langzaam werkende meststof ontstaat. Het is volgens CLM extra kansrijk om dit toe te passen op plaatsen waar veel producten zijn van landschapsonderhoud. Het is dus bedrijfsspecifiek en het is niet bekend wat de financiële consequenties hiervan zijn.   </t>
  </si>
  <si>
    <t xml:space="preserve">Kosten voor zaaien, zaaigoed en onderwerken </t>
  </si>
  <si>
    <t>(de Lijster, et al., 2016)</t>
  </si>
  <si>
    <t>Opbrengststijging</t>
  </si>
  <si>
    <r>
      <t xml:space="preserve">Concluderend stelt CLM dat er </t>
    </r>
    <r>
      <rPr>
        <b/>
        <sz val="11"/>
        <color theme="1"/>
        <rFont val="Calibri"/>
        <family val="2"/>
        <scheme val="minor"/>
      </rPr>
      <t>geringe opbrengstverschillen</t>
    </r>
    <r>
      <rPr>
        <sz val="11"/>
        <color theme="1"/>
        <rFont val="Calibri"/>
        <family val="2"/>
        <scheme val="minor"/>
      </rPr>
      <t xml:space="preserve"> zijn te verwachten bij gebruik van vaste mest in plaats van rundveedrijfmest. </t>
    </r>
  </si>
  <si>
    <t>Bron: Lijster, E. d., van de Akker, J., Visser, A., Allema, B., van der Wal, A., &amp; Dijkman, W. (2016). Waarderen van bodemwatermaatregelen. Culemborg: CLM Onderzoek en Advies.</t>
  </si>
  <si>
    <t xml:space="preserve">Op basis van een tiental studies stellen de onderzoekers vast dat onder grasland per jaar gemiddeld 0,5 tot 1 ton koolstof per hectare kan worden opgeslagen. Wanneer grasland gescheurd wordt, is het verlies aan koolstof echter groter, tot 1 à 2 ton per hectare per jaar (Feenstra &amp; Veulemans, 2018). Dit voorbeeld laat zien dat bij het scheuren van grasland als grondbewerking, er veel organische stof verloren gaat. Zoals al eerder is vermeld is het dus moeilijk in geld uit te drukken. Ook is vermeld dat volgens een onderzoek van Eurofins het bouwplan en de grondbewerking minder effect hebben op de OS-balans. Het beste voor de ondernemer is om zo weinig mogelijk grondbewerkingen te doen, en zo veel als mogelijk om de opbrengst te garanderen. Dit kan het beste door de ondernemer worden ingeschat. Die zal dit ook beamen aangezien extra grondbewerkingen voor een ondernemer ook tijd kosten en ook geld zoals diesel en onderhoud aan machines </t>
  </si>
  <si>
    <t>m2</t>
  </si>
  <si>
    <t>LTO heeft onderzoek gedaan naar de kosten van een akkerrand/ FAB rand incl. opbrengstderving en bewerkingen.</t>
  </si>
  <si>
    <t>(van Rijn, Willemse, &amp; van Alebeek, 2011)</t>
  </si>
  <si>
    <t>Subsidie STILA/ha</t>
  </si>
  <si>
    <t>Kosten 4 jarig per jaar</t>
  </si>
  <si>
    <t>meter</t>
  </si>
  <si>
    <t>(Agrodis; CUMELA; LTO; Nefyto; Waterschappen; CLM, 2020)</t>
  </si>
  <si>
    <t>Er wordt subsidie gegeven tot 50 meter</t>
  </si>
  <si>
    <t>Per meter</t>
  </si>
  <si>
    <t>Machine huren</t>
  </si>
  <si>
    <t>Vuistregel 160 kg stro voor 100 ton product snijmais</t>
  </si>
  <si>
    <t>(Broos Water, 2021)</t>
  </si>
  <si>
    <t>Aantal kg stro per 100 ton maïs</t>
  </si>
  <si>
    <t>(Schooten, 2020)</t>
  </si>
  <si>
    <t>Prijs per ton stro</t>
  </si>
  <si>
    <t>50 ton product snijmaïs per hectare</t>
  </si>
  <si>
    <t>De verschillen in perssap waren te klein om verschillen in voederwaardeverliezen te kunnen meten. Dit komt ment name door het lage de verschillen in perssap waren te klein om verband met kans op slechtere opname en milieuproblematiek.</t>
  </si>
  <si>
    <t>n.n.b</t>
  </si>
  <si>
    <t>Het aanleggen van een conventioneel drainagesysteem kost gemiddeld 1250 tot 1500 euro per hectare. Kosten van een vooronderzoek zouden agrariërs ook samen kunnen doen om de kosten te delen. De technische levensduur (15 tot 20) jaar van een drainagesysteem mag meegenomen worden bij de afschrijving van de investering. Maar wat levert drainage op? Exacte berekeningen van de baten zijn tot op heden niet gemaakt. Wel worden de effecten/voordelen van drainage veelal genoemd in rapporten. Volgens het rapport ‘Duurzaam waterbeheer op agrarische bedrijven’ (Cleverling, 2004) zorgen zowel een conventioneel drainagesysteem als een samengesteld drainagesysteem voor het verhogen van het waterpeil in perioden dat lage waterpeilen voor de bedrijfsvoering niet noodzakelijk zijn. In droge zomers is een conventioneel drainage syteem vaak niet voldoende voor een goede vochtvoorziening van het gewas. Daarentegen biedt een samengesteld drainagesysteem meer voordelen. Met dit systeem kan op mogelijke neerslag geanticipeerd worden door water tijdelijk in een reservoir op te slaan (Cleverling, 2004). De opbrengsten zijn bedrijfsspecifiek en hierdoor moeilijk in geld uit te drukken.</t>
  </si>
  <si>
    <t>(Cleverling, 2004)</t>
  </si>
  <si>
    <t>Rietveld aanleggen op overhoek   </t>
  </si>
  <si>
    <t>Hier worden mestoffen in de buurt van de plant toegedient waardoor de wortels er meteen bij kunnen. Deze techniek wordt toegepast bij het toediennen van stikstof- en fosfaatmestoffen. Er kan bijvoorbeeld 15% minder stikstof worden toegediend op suikerbieten zonder dat de opbrengst achteruitgaat. Deze techniek is alleen van toepassing op akkerbouw gewassen hierdoor is het verder niet uitgewerkt.</t>
  </si>
  <si>
    <t>(NutriNorm, 2016)</t>
  </si>
  <si>
    <t>(van Wenum, et al., 2021)</t>
  </si>
  <si>
    <t xml:space="preserve">Mest scheiden kost 2 á 4 euro per m3. Er mag 40 m3 dierlijke mest op een hectare zandgrond zonder derogatie. Besparing is 50 kg stikstof uit kunstmest per ha = €47,50. €47,50 - €120 = -€72,50 (uit 50kg kunstmest/ ha). Het geval hierboven wordt geschetst op basis van een ingehuurde mest scheider. </t>
  </si>
  <si>
    <t>(Ginneken &amp; Wiermans, 2016)</t>
  </si>
  <si>
    <t>Chemische onkruidbestrijding</t>
  </si>
  <si>
    <t xml:space="preserve">De berekening geldt alleen op maisland. </t>
  </si>
  <si>
    <r>
      <t xml:space="preserve">Waterberging buiten het groeiseizoen heeft volgens STOWA nauwelijks gewasreductie tot gevolg zolang er geen sprake is van langdurige inundatie. De geschatte levensduur van gras buiten het groeiseizoen (November-Februari) wanneer het onder water staat bedraagt 100 dagen. Wanneer de inundatie weken aanhoudt is er sprake van langdurige inundatie. Dan vindt er massale sterfte van regenwormen plaats en leidt de inundatie onder andere tot zuurstofloosheid van de bodem en de vorming van sulfiden in het water. Dit kan dan volgens STOWA resulteren in toxische effecten op vee. Volgens CLM zorgt de waterberging voor droog-nat gradiënten en dus meer biodiversiteit boven de grond. Met  waterschappen worden vaak afspraken gemaakt omtrent tijdelijke waterberging. Hierbij gaat het dan ook om de vergoeding voor de opbrengstderving. </t>
    </r>
    <r>
      <rPr>
        <b/>
        <sz val="11"/>
        <color theme="1"/>
        <rFont val="Calibri"/>
        <family val="2"/>
        <scheme val="minor"/>
      </rPr>
      <t xml:space="preserve">Van belang is dat deze berging buiten het groeiseizoen dus weinig negatieve gevolgen zal hebben wanneer het maar niet langdurig (meerdere weken) is. </t>
    </r>
  </si>
  <si>
    <t>(Cornelissen, Harmesen, Kempenaar, Knol, &amp; van der Zweerde, 2003)</t>
  </si>
  <si>
    <t>m3</t>
  </si>
  <si>
    <t>Bij de kosten van een ondergrondse waterberging is gekeken naar de kostprijs per m3 en de baten bij opslag van hemelwater in glastuinbouw. Uit de studie ‘Zuurbier et al., 2012a’ komen de kosten op 0,20 tot 0,70 euro per m3 wat gunstig is ten opzichte van drinkwater. Gemiddeld uit deze studie is dit 0.596 euro.</t>
  </si>
  <si>
    <t>(Stowa, 2021)</t>
  </si>
  <si>
    <t xml:space="preserve">Verschillende technieken zijn interessant voor het verminderen van drift zoals een drift reducerende additief. Het kan het uitvloeien en aanhechten van het gewasbeschermingsmiddel aan het blad verbeteren. Volgens onderzoek komt er met een additief 20% meer spuitvloeistof op het blad terrecht dan een additief zonder toevoegingen. De kosten voor het toevoegen van additieven variëren. Namelijk van €5 tot €35 per hectare. </t>
  </si>
  <si>
    <t> (Toolboxwater, 2017)</t>
  </si>
  <si>
    <t xml:space="preserve"> (Koerhuis, Drukwisselsysteem spaart bodem en band, 2015)</t>
  </si>
  <si>
    <r>
      <t xml:space="preserve">Slootkantenbeheer zoals gefaseerd maaien heeft vooral een meerwaarde voor de biodiversiteit. Volgens CLM verdwijnt het leefgebied van natuurlijke vijanden in een keer wanneer de sloten tegelijk worden gemaaid. Daarom is het beter om sloten niet allemaal tegelijk te maaien. Ook kan er gefaseerd gemaaid worden door slechts 1 kant van de sloot te maaien en dan een tijd later de andere kant van de sloot te maaien. Zo kunnen dieren overspringen en overleven ze. Hierdoor kunnen vogels als fazanten en patrijzen ook voedsel vinden in de slootkanten. Voor veehouders zou er een positief effect kunnen zijn wanneer natuurlijke vijanden en bestuivers het hele jaar voedsel en dekking kunnen vinden. </t>
    </r>
    <r>
      <rPr>
        <b/>
        <sz val="11"/>
        <color theme="1"/>
        <rFont val="Calibri"/>
        <family val="2"/>
        <scheme val="minor"/>
      </rPr>
      <t>Al met al zullen de bedrijfseconomische effecten gering zijn</t>
    </r>
    <r>
      <rPr>
        <sz val="11"/>
        <color theme="1"/>
        <rFont val="Calibri"/>
        <family val="2"/>
        <scheme val="minor"/>
      </rPr>
      <t xml:space="preserve">. Gefaseerd maaien zal betekenen dat er vaker, maar wel korter gemaaid gaat worden. Als bijvoorbeeld 1/3 van de sloten gemaaid gaat worden zal dit ook in een kortere tijd klaar zijn in vergelijking met alle sloten tegelijk maaien. </t>
    </r>
  </si>
  <si>
    <t>(CLM, 2014)</t>
  </si>
  <si>
    <t>Deze methode wordt in Nederland al veel toegepast. Vaak is de maaikorf bevestigd aan een mobiele kraan en wordt het slootvuil direct afgevoerd, zoals staat aangegeven in de CLM matix. Dit wordt vaak al door loonwerkers uitgevoerd bij melkveeveehouders, zodat er bij deze maatregel geen extra financiele consesenties zijn.</t>
  </si>
  <si>
    <t>Meter</t>
  </si>
  <si>
    <t>Standaardoever</t>
  </si>
  <si>
    <t>(Schuring &amp; Meer, 2001)</t>
  </si>
  <si>
    <t>Rietoever</t>
  </si>
  <si>
    <t xml:space="preserve">n.n.b. </t>
  </si>
  <si>
    <t>In de CLM matrix wordt deze maatregel uitgelegd. Hierbij wordt aangegeven dat het algehele waterpeil wordt verhoogd om zo meer droog-nat gradiënten te ontwikkelen. Omdat veehouders hier weinig invloed op hebben (Waterschappen hebben hier invloed op) wordt deze maatregel niet verder uitgewerkt.</t>
  </si>
  <si>
    <t xml:space="preserve">De aanleg van streekeigen beplanting helpt natuurlijke vijanden en nuttige vogels een plekje te vinden op het erf. Tegelijkertijd wordt de flora zo versterkt door het voorkomen van bloeiende heesters met de meidoorn als voorbeeld. Het verrijken van de omgeving met  flora en fauna heeft een verminderend effect op de schade die afkomstig is van insecten. Maar deze effecten zijn niet direct te vertalen naar economische consequenties. </t>
  </si>
  <si>
    <t>Zie: Aanleg houtwal stuweel en haag</t>
  </si>
  <si>
    <t xml:space="preserve">Volgens CLM worden er door het in stand houden van greppels en ander natuurlijk microreliëf niches gecreëerd die daarmee de biodiversiteit bevorderen. Vooral greppels zijn interessant voor weidevogels. Deze greppels worden door veehouders aangelegd om een goede afwatering te hebben van het grasland. Volgens Landschap Noord-Holland zijn er veel insecten te vinden in deze greppels doordat het er natter is in vergelijking met het overige grasland. Ook zorgt een greppel voor beschutting voor weidevogels zoals de kievit.  Zie verder bij “infiltratie greppel aanleggen” </t>
  </si>
  <si>
    <t>(Tijsen, 2021)</t>
  </si>
  <si>
    <t>Minder kunstmest</t>
  </si>
  <si>
    <t>Zie: Hoofdstuk verslag kruidenrijk grasland</t>
  </si>
  <si>
    <t>Vaker herinzaaien</t>
  </si>
  <si>
    <t>Minder gewasbescherming</t>
  </si>
  <si>
    <t xml:space="preserve">(Quinten, 2021) </t>
  </si>
  <si>
    <t>Zie verslag</t>
  </si>
  <si>
    <t>Gewasbescherming</t>
  </si>
  <si>
    <t xml:space="preserve">Door te telen in stroken van 4, 5 of 6 meter komt er hetzelfde opbrengst als bij gangbaar teelt. Tegelijkertijd is de opkomst van ziektes vermindert bij het aanplanten van specifieke soorten. Het toepassen van houtige gewassen heeft potentie maar “de huidige grootschalige mechanisatie is niet hiervoor geschikt waardoor kost het te veel arbeid”. </t>
  </si>
  <si>
    <t>(Sukkel, Cuperus, &amp; van Apeldoorn, 2019)</t>
  </si>
  <si>
    <t>(Groen Kennisnet, 2020)</t>
  </si>
  <si>
    <t xml:space="preserve">Voor deze maatregel wordt er grond gebruikt voor natuur die anders niet op het meest efficiënte manier gebruikt kan worden door de agrariër zelf. Voorbeelden zijn hoeken van grond die moeilijk zijn te beregenen of te bewerken. Als er gebruik kan worden gemaakt van een subsidie regeling zoals STILA, dan zou het intressant om een overhoek daarvoor te gebruiken. </t>
  </si>
  <si>
    <t>Plantafstand is 25cm, 4 op een meter. Bijv. meidoorn €1,50 per struik</t>
  </si>
  <si>
    <t xml:space="preserve">(DeBatterijen, 2021) </t>
  </si>
  <si>
    <t>Uitgraven poel en sloten (ontgraven en afvoeren grond). Een poel bevat in het voorbeeld 431 m2.</t>
  </si>
  <si>
    <t>GOB subsidieaanvraag van een deelnemende melkveehouder</t>
  </si>
  <si>
    <t>Op basis van bron zijn de kosten per ha:</t>
  </si>
  <si>
    <t>(Guldemond, Holshof, Klok, Tolkamp, &amp; Zevenbergen, 2007)</t>
  </si>
  <si>
    <t>In sommige gevallen kan er een subsidie worden aangevraagd van ANB Brabant. In dit geval is de subsidie kostendekkend.</t>
  </si>
  <si>
    <t xml:space="preserve">Bij het toepassen van deze maatregel wordt er in  natuur een  plaats gegeven voor vlees of melkproductie door op een natuurlijke wijze de terreinen te beheren. Vaak is het niet mogelijk om in een natuurgebied te bemesten zodat het gras niet van de beste kwaliteit is. Voor de melkveehouderij zouden er bijvoorbeeld pinken kunnen grazen. Bij verschillende terrein beherende organisaties is de inschaarvergoeding die de veehouder moet betalen verschillend en is het ook moeilijk te kwantificeren in hoeverre er zo minder eigen ruwvoer geteeld moet worden </t>
  </si>
  <si>
    <t>(Stevens, 2018)</t>
  </si>
  <si>
    <t>Omzet en aanwas</t>
  </si>
  <si>
    <t>Krachtvoerkosten</t>
  </si>
  <si>
    <t>Ruwvoerkosten</t>
  </si>
  <si>
    <t>Vee kosten</t>
  </si>
  <si>
    <t xml:space="preserve">In de kennismatrix van CLM wordt er gesproken over het rekening houden met plaag- en ziekte resistentie bij de keuze van de te telen gewassen. Zo kan er bijvoorbeeld minder gewasbescherming nodig zijn. Bij de rundveehouderij is dit minder van belang aangezien mais en gras weinig tot niet gespoten hoeft te worden met pesticiden. Wel wordt er gespoten met herbiciden om overtollig onkruid te verwijderen. Omdat deze maatregel meer relevant is voor akkerbouw wordt deze niet verder uitgewerkt.  </t>
  </si>
  <si>
    <t xml:space="preserve">Het verlagen van het ruw eiwit gehalte in het rantsoen kent gemiddeld een grens van 15%.  Gemiddeld in Nederland is het eiwitgehalte in rantsoenen ongeveer 16%. Het streven van 14%, zoals in de kennismatrix is omschreven, is dus onder de gemiddelde grenswaarde en kan negatieve effecten hebben op de gezondheid van de koeien. Het kan namelijk een negatieve invloed hebben op de voeropname en dan ook op de melkproductie. Omdat het moeilijk is om de economische consequenties te achterhalen wordt dit niet verder onderzocht, het is bedrijfsspecifiek. De achterliggende gedachte van een vermindering van het ruw eiwit is het feit dat de koeien dan minder ammoniak uitstoten. Bij een teveel aan eiwit gaat er namelijk stikstof verloren in de vorm van ureum. </t>
  </si>
  <si>
    <t>(Booij, 2019)</t>
  </si>
  <si>
    <t xml:space="preserve">In de kennismatrix van CLM wordt een streven naar 0,75 dierdagdoseringen genoemd. Volgens de Autoriteit Diergeneesmiddelen was het gemiddelde in 2019 op Nederlandse melkveebedrijven 2,2 dierdagdoseringen. 20% van de bedrijven heeft maximaal 1 dierdagdosering. Dat wil zeggen dat de grote meerderheid niet komt aan slechts 0,75 dierdagdoseringen. Wel daalt de gemiddelde dierdagdosering. Tussen 2018 en 2019 is dit met 0,05 dierdagdosering gedaald. Kijkend naar de hele rundveehouderij kan er ook een sterke daling worden waargenomen. Het antibioticagebruik is in de afgelopen 10 jaar met 70% gedaald. De economische consequenties kunnen niet worden berekend aangezien veruit de meeste veehouders zo min mogelijk antibiotica gebruiken, en wanneer zij dit niet meer doen kunnen dieren ziek worden en dus minder melk gaan produceren. Dit zou dan ook een kostenpost zijn.   </t>
  </si>
  <si>
    <t>(Veeteelt, 2020)</t>
  </si>
  <si>
    <t>Kasten</t>
  </si>
  <si>
    <t>Er zijn verschillende soorten vogelkasten voor verschillende soorten vogels. Er wordt een gemiddelde prijs genomen voor de nestkasten.</t>
  </si>
  <si>
    <t>(Vogelbescherming, 2021)</t>
  </si>
  <si>
    <t>Prijs per kast</t>
  </si>
  <si>
    <t>Er zijn verschillende soorten prijzen voor vleermuiskasten. Deze prijs diend als een indicatie.</t>
  </si>
  <si>
    <t>(Vogelhuisjes.nl, 2021)</t>
  </si>
  <si>
    <t>Kosten 4 jarig per jaat</t>
  </si>
  <si>
    <t>30 euro per hoogstamfruitboom, paal en band 10 euro. 1 boom per 8 meter.</t>
  </si>
  <si>
    <t>Interview de fruitboogerd</t>
  </si>
  <si>
    <t>Hotels</t>
  </si>
  <si>
    <t>Er zijn veel verschillende soorten bijenhotels. Er is gekozen voor een gemidddelde prijs.</t>
  </si>
  <si>
    <t>(Bol.com, 2021)</t>
  </si>
  <si>
    <t>Per stuk</t>
  </si>
  <si>
    <t>Vermindering VEM</t>
  </si>
  <si>
    <t xml:space="preserve">Prins, U., Bos, M., Heerkens, D., &amp; Rombouts, P. (2012). Natuurlijk Boeren, Best practices op Brabantse natuurgronden. Bunnik: Louis Bolk Instituut, BION, Brabantse Milieufederatie. </t>
  </si>
  <si>
    <t>Eind mei</t>
  </si>
  <si>
    <t>Bij mozaïek beheer wordt er gemaaid op verschillende momenten en oppervlakten. Dit wordt vooral gedaan voor de weidevogels, zij kunnen dekking en voedsel blijven vinden vanaf Mei. Normaal gesproken wordt in Mei alles in één keer gemaaid. Volgens wordt er in de beste weidevogelgebieden niet meer dan 40% van de oppervlakte gemaaid voor 15 Juni. Het spreekt voor zich dat dergelijke maatregelen zorgen voor een verminderde graskwaliteit en opbrengst. Ook vraagt het meer arbeid. Omdat mozaïekbeheer in veel verschillende vormen kan plaatsvinden, wordt voor de economische consequenties verwezen naar “Uitgesteld maaien”</t>
  </si>
  <si>
    <r>
      <t xml:space="preserve"> </t>
    </r>
    <r>
      <rPr>
        <sz val="11"/>
        <color rgb="FF000000"/>
        <rFont val="Calibri"/>
        <family val="2"/>
        <scheme val="minor"/>
      </rPr>
      <t>(Guldemond, Holshof, Klok, Tolkamp, &amp; Zevenbergen, 2007)</t>
    </r>
  </si>
  <si>
    <t>Bij mogelijkheid om subsidie te ontvangen ANB brabant is het kostendekkend</t>
  </si>
  <si>
    <t>Stuks</t>
  </si>
  <si>
    <t>Nestbescherming is gericht op de bescherming van weidevogels in het voorjaar. Veelvoorkomende soorten zoals de grutto, de wulp en de tureluur broeden vooral op grasland. De kievit en de scholekster broeden vooral op bouwland.  Weidevogelnesten kunnen worden gemarkeerd zodat er bij de bewerking van het land rekening mee gehouden wordt. Dit kan door de ondernemer zelf worden gedaan, maar wordt ook vaak gedaan door groepen vrijwilligers. Er zijn vrijwel geen economische consequenties.</t>
  </si>
  <si>
    <t>(Boerenlandvogels, 2021)</t>
  </si>
  <si>
    <t xml:space="preserve">Het weren van predatoren is ook vooral gericht op de bescherming van weidevogels. Met het plaatsen van een raster rond een perceel waar zich veel nesten bevinden kan aan deze maatregel worden gewerkt. Ook worden er soms rasters rond een individueel nest gezet zodat vossen de eieren of vogels niet kunnen opeten. Naast vossen kunnen kraaien en reigers ook gezien worden. Er zijn vrijwel geen economische consequenties. </t>
  </si>
  <si>
    <t>(Kenniskring, 2021)</t>
  </si>
  <si>
    <t>Jaren</t>
  </si>
  <si>
    <t>Maanden</t>
  </si>
  <si>
    <t>Stand op 1e van de maand</t>
  </si>
  <si>
    <t>Maandelijkse rente</t>
  </si>
  <si>
    <t>Totale maandelijkse uitgave</t>
  </si>
  <si>
    <t>Jaarlijkse uitgave</t>
  </si>
  <si>
    <t>Jaarlijkse rente</t>
  </si>
  <si>
    <t>Aankoopsom</t>
  </si>
  <si>
    <t>Maandelijkse aflossing</t>
  </si>
  <si>
    <t>Rentepercentage</t>
  </si>
  <si>
    <t>Maandelijks rentepercentage</t>
  </si>
  <si>
    <t>Aflossingstermijn</t>
  </si>
  <si>
    <t>Grondsoorten</t>
  </si>
  <si>
    <t>Bedrijfspecifiek</t>
  </si>
  <si>
    <t>kg ds</t>
  </si>
  <si>
    <t>Bron</t>
  </si>
  <si>
    <t>Melkproductie tov vembehoefte</t>
  </si>
  <si>
    <t>Grasklaver: 18% meer opbrengst dan gras (agrifirm.nl)</t>
  </si>
  <si>
    <t xml:space="preserve"> % eiwit </t>
  </si>
  <si>
    <t>305 dgn</t>
  </si>
  <si>
    <t xml:space="preserve">% vet </t>
  </si>
  <si>
    <t>https://www.barenbrug.nl/veehouderij/teelthandleiding-luzerne</t>
  </si>
  <si>
    <t>https://www.lgseeds.nl/media//w/h/whitepaper_veldbonen_6.pdf</t>
  </si>
  <si>
    <t>KWIN</t>
  </si>
  <si>
    <t>https://www.lgseeds.nl/media//w/h/whitepaper_voederbieten_2.pdf</t>
  </si>
  <si>
    <t>Erfpachtregeling</t>
  </si>
  <si>
    <t xml:space="preserve">Roostervloer, bolle rubber toplaag </t>
  </si>
  <si>
    <t xml:space="preserve">Roostervloer, bolle rubber toplaag en afdichtflappen in de roosterspleten </t>
  </si>
  <si>
    <t>Hellende vloer, rubberen toplaag</t>
  </si>
  <si>
    <t>Melkproductie in kilogram melk per koe per jaar</t>
  </si>
  <si>
    <t>Fosfaatexcretie in kilo</t>
  </si>
  <si>
    <t>In de NIL Tool A begrotingsmodel natuurboeren grasland van HAS docent Rene Quinten staat beschreven wat de gevolgen zijn van verschraling van het grasland. Hier komt naar voren dat de opbrengst van verschraald grasland ongeveer 70% lager is in vergelijking met gewoon grasland (Quinten, 2021). Het kan gezien worden als natuurland . Om dit in geld uit te drukken is de vermindering van opbrengst per hectare vermenigvuldigt met een huidige kVEM prijs. In de rekentool kan er in het tabblad Voer NIL gekozen worden voor Natuurgras, zodat de verminderde opbrengst automatisch wordt meegenomen in de berekening van het kVEM tekort of overschot en zo ook in de winst- en verliesrekening</t>
  </si>
  <si>
    <t>Gebruikstitel</t>
  </si>
  <si>
    <t>Carbonfarming</t>
  </si>
  <si>
    <t>Wordt er voldaan aan de voorlopige eisen van het toetsingskader?</t>
  </si>
  <si>
    <t>(zie lijst met eisen in de handleiding)</t>
  </si>
  <si>
    <t>Extra afzet / nevenactiviteit</t>
  </si>
  <si>
    <t>Natuurgras (Niet bemestbaar)</t>
  </si>
  <si>
    <t>Productief kruidenrijk grasland</t>
  </si>
  <si>
    <t>Extensief kruidenrijk grasland</t>
  </si>
  <si>
    <t>In euro's:</t>
  </si>
  <si>
    <t xml:space="preserve"> (Vullinghs, 2021)</t>
  </si>
  <si>
    <t>bijlage 1.</t>
  </si>
  <si>
    <t>(KWIN)</t>
  </si>
  <si>
    <t xml:space="preserve">Deze maatregel heeft net als gefaseerd baggeren ook betrekking op het slootkantenbeheer. Het gaat namelijk om het gefaseerd maaien van de slootvegetatie. Voor de economische gevolgen wordt verwezen naar de maatregel Gefaseerd baggeren.  </t>
  </si>
  <si>
    <t>1)</t>
  </si>
  <si>
    <t>2)</t>
  </si>
  <si>
    <t>3)</t>
  </si>
  <si>
    <t>Een economische jaarrekening</t>
  </si>
  <si>
    <t>De kringloopwijzer</t>
  </si>
  <si>
    <t>CRV mineraal bedrijfsoverzicht</t>
  </si>
  <si>
    <t>Rekentool gebruiksaanwijzing:</t>
  </si>
  <si>
    <t xml:space="preserve">Voor een gedetaillerde uitleg dient de gebruiker de handleiding voor deze tool te benaderen. </t>
  </si>
  <si>
    <t>Rekentool voor Natuurinclusieve Landbouw</t>
  </si>
  <si>
    <t xml:space="preserve">De rekentool is een van de eindproducten van het onderzoek naar kritische succesfactoren van Natuurinclusieve landbouw. De rekentool dient als hulpmiddel voor de veehouder en adviseur om de financiële gevolgen van omschakeling naar NIL van een specifieke bedrijfssituatie in kaart te brengen. </t>
  </si>
  <si>
    <t xml:space="preserve">Doelgroep van de rekentool: </t>
  </si>
  <si>
    <t xml:space="preserve">Deze rekentool is medemogelijk gemaakt door: </t>
  </si>
  <si>
    <t>Voor het gebruik van deze rekentool dient u de volgende documenten te hebben:</t>
  </si>
  <si>
    <t>Interview uit BO</t>
  </si>
  <si>
    <t>Rekenmodel Rene Quinten</t>
  </si>
  <si>
    <t>Hoofdstuk 5.4 Verslag Kritische Succes factoren NIL</t>
  </si>
  <si>
    <t>(Agroproeftuin, 2020)</t>
  </si>
  <si>
    <t xml:space="preserve">*1: Als rekenregel wordt gehanteerd dat de verhoging van 1% van het organische stofgehalte zal zorgen voor 10% opbrengstverhoging van rooigewassen zoals aardappelen en 2% voor granen en dus ook mais. Gras is niet onderzocht. Verder zorgt organische stof voor het verhogen van het waterbergend vermogen. Als rekenregel wordt door het CLM gehanteerd dat 1% extra organische stof in de bodem bijdraagt aan een extra waterberging van 6,8 millimeter water op zandgrond en 9,3 millimeter water op kleigrond. </t>
  </si>
  <si>
    <t>* Voor extra toelichting over OS stof zie toelichting onder tabel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</si>
</sst>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quot;€&quot;\ #,##0.00;[Red]&quot;€&quot;\ \-#,##0.00"/>
    <numFmt numFmtId="165" formatCode="_ &quot;€&quot;\ * #,##0.00_ ;_ &quot;€&quot;\ * \-#,##0.00_ ;_ &quot;€&quot;\ * &quot;-&quot;??_ ;_ @_ "/>
    <numFmt numFmtId="166" formatCode="_ * #,##0.00_ ;_ * \-#,##0.00_ ;_ * &quot;-&quot;??_ ;_ @_ "/>
    <numFmt numFmtId="167" formatCode="_ * #,##0_ ;_ * \-#,##0_ ;_ * &quot;-&quot;??_ ;_ @_ "/>
    <numFmt numFmtId="168" formatCode="_ [$€-413]\ * #,##0.00_ ;_ [$€-413]\ * \-#,##0.00_ ;_ [$€-413]\ * &quot;-&quot;??_ ;_ @_ "/>
    <numFmt numFmtId="169" formatCode="0.0"/>
    <numFmt numFmtId="170" formatCode="_ &quot;€&quot;\ * #,##0_ ;_ &quot;€&quot;\ * \-#,##0_ ;_ &quot;€&quot;\ * &quot;-&quot;??_ ;_ @_ "/>
    <numFmt numFmtId="171" formatCode="0.0000%"/>
    <numFmt numFmtId="172" formatCode="_ &quot;€&quot;\ * #,##0.0_ ;_ &quot;€&quot;\ * \-#,##0.0_ ;_ &quot;€&quot;\ * &quot;-&quot;??_ ;_ @_ "/>
    <numFmt numFmtId="173" formatCode="_ &quot;€&quot;\ * #,##0.000_ ;_ &quot;€&quot;\ * \-#,##0.000_ ;_ &quot;€&quot;\ * &quot;-&quot;??_ ;_ @_ "/>
    <numFmt numFmtId="174" formatCode="_ * #,##0.000_ ;_ * \-#,##0.000_ ;_ * &quot;-&quot;??_ ;_ @_ "/>
  </numFmts>
  <fonts count="14"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i/>
      <sz val="11"/>
      <color theme="1"/>
      <name val="Calibri"/>
      <family val="2"/>
      <scheme val="minor"/>
    </font>
    <font>
      <b/>
      <sz val="11"/>
      <name val="Calibri"/>
      <family val="2"/>
      <scheme val="minor"/>
    </font>
    <font>
      <u/>
      <sz val="11"/>
      <color theme="10"/>
      <name val="Calibri"/>
      <family val="2"/>
      <scheme val="minor"/>
    </font>
    <font>
      <b/>
      <sz val="18"/>
      <color theme="1"/>
      <name val="Calibri"/>
      <family val="2"/>
      <scheme val="minor"/>
    </font>
    <font>
      <sz val="11"/>
      <color rgb="FFFF0000"/>
      <name val="Calibri"/>
      <family val="2"/>
      <scheme val="minor"/>
    </font>
    <font>
      <b/>
      <sz val="16"/>
      <color theme="1"/>
      <name val="Calibri"/>
      <family val="2"/>
      <scheme val="minor"/>
    </font>
    <font>
      <sz val="8"/>
      <color theme="1"/>
      <name val="Calibri"/>
      <family val="2"/>
      <scheme val="minor"/>
    </font>
    <font>
      <sz val="11"/>
      <color rgb="FF000000"/>
      <name val="Calibri"/>
      <family val="2"/>
      <scheme val="minor"/>
    </font>
    <font>
      <sz val="11"/>
      <color rgb="FF3F3F76"/>
      <name val="Calibri"/>
      <family val="2"/>
      <scheme val="minor"/>
    </font>
    <font>
      <b/>
      <sz val="20"/>
      <color theme="1"/>
      <name val="Calibri"/>
      <family val="2"/>
      <scheme val="minor"/>
    </font>
  </fonts>
  <fills count="15">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9" tint="-0.249977111117893"/>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theme="8" tint="0.39997558519241921"/>
        <bgColor indexed="64"/>
      </patternFill>
    </fill>
    <fill>
      <patternFill patternType="solid">
        <fgColor theme="4" tint="0.79998168889431442"/>
        <bgColor indexed="64"/>
      </patternFill>
    </fill>
    <fill>
      <patternFill patternType="solid">
        <fgColor theme="5" tint="0.79998168889431442"/>
        <bgColor indexed="64"/>
      </patternFill>
    </fill>
  </fills>
  <borders count="41">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rgb="FF7F7F7F"/>
      </left>
      <right style="thin">
        <color rgb="FF7F7F7F"/>
      </right>
      <top style="thin">
        <color rgb="FF7F7F7F"/>
      </top>
      <bottom style="thin">
        <color rgb="FF7F7F7F"/>
      </bottom>
      <diagonal/>
    </border>
    <border>
      <left style="medium">
        <color indexed="64"/>
      </left>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style="thin">
        <color rgb="FF7F7F7F"/>
      </right>
      <top style="thin">
        <color theme="1"/>
      </top>
      <bottom style="thin">
        <color rgb="FF7F7F7F"/>
      </bottom>
      <diagonal/>
    </border>
    <border>
      <left style="thin">
        <color rgb="FF7F7F7F"/>
      </left>
      <right style="thin">
        <color rgb="FF7F7F7F"/>
      </right>
      <top style="thin">
        <color theme="1"/>
      </top>
      <bottom style="thin">
        <color rgb="FF7F7F7F"/>
      </bottom>
      <diagonal/>
    </border>
    <border>
      <left style="thin">
        <color rgb="FF7F7F7F"/>
      </left>
      <right style="thin">
        <color theme="1"/>
      </right>
      <top style="thin">
        <color theme="1"/>
      </top>
      <bottom style="thin">
        <color rgb="FF7F7F7F"/>
      </bottom>
      <diagonal/>
    </border>
    <border>
      <left style="thin">
        <color theme="1"/>
      </left>
      <right style="thin">
        <color rgb="FF7F7F7F"/>
      </right>
      <top style="thin">
        <color rgb="FF7F7F7F"/>
      </top>
      <bottom style="thin">
        <color rgb="FF7F7F7F"/>
      </bottom>
      <diagonal/>
    </border>
    <border>
      <left style="thin">
        <color rgb="FF7F7F7F"/>
      </left>
      <right style="thin">
        <color theme="1"/>
      </right>
      <top style="thin">
        <color rgb="FF7F7F7F"/>
      </top>
      <bottom style="thin">
        <color rgb="FF7F7F7F"/>
      </bottom>
      <diagonal/>
    </border>
    <border>
      <left style="thin">
        <color theme="1"/>
      </left>
      <right style="thin">
        <color rgb="FF7F7F7F"/>
      </right>
      <top style="thin">
        <color rgb="FF7F7F7F"/>
      </top>
      <bottom style="thin">
        <color theme="1"/>
      </bottom>
      <diagonal/>
    </border>
    <border>
      <left style="thin">
        <color rgb="FF7F7F7F"/>
      </left>
      <right style="thin">
        <color rgb="FF7F7F7F"/>
      </right>
      <top style="thin">
        <color rgb="FF7F7F7F"/>
      </top>
      <bottom style="thin">
        <color theme="1"/>
      </bottom>
      <diagonal/>
    </border>
    <border>
      <left style="thin">
        <color rgb="FF7F7F7F"/>
      </left>
      <right style="thin">
        <color theme="1"/>
      </right>
      <top style="thin">
        <color rgb="FF7F7F7F"/>
      </top>
      <bottom style="thin">
        <color theme="1"/>
      </bottom>
      <diagonal/>
    </border>
    <border>
      <left style="thin">
        <color theme="1"/>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s>
  <cellStyleXfs count="6">
    <xf numFmtId="0" fontId="0" fillId="0" borderId="0"/>
    <xf numFmtId="166" fontId="1" fillId="0" borderId="0" applyFont="0" applyFill="0" applyBorder="0" applyAlignment="0" applyProtection="0"/>
    <xf numFmtId="165" fontId="1" fillId="0" borderId="0" applyFont="0" applyFill="0" applyBorder="0" applyAlignment="0" applyProtection="0"/>
    <xf numFmtId="9" fontId="1" fillId="0" borderId="0" applyFont="0" applyFill="0" applyBorder="0" applyAlignment="0" applyProtection="0"/>
    <xf numFmtId="0" fontId="6" fillId="0" borderId="0" applyNumberFormat="0" applyFill="0" applyBorder="0" applyAlignment="0" applyProtection="0"/>
    <xf numFmtId="165" fontId="12" fillId="14" borderId="21" applyAlignment="0" applyProtection="0"/>
  </cellStyleXfs>
  <cellXfs count="692">
    <xf numFmtId="0" fontId="0" fillId="0" borderId="0" xfId="0"/>
    <xf numFmtId="0" fontId="0" fillId="0" borderId="1" xfId="0" applyBorder="1"/>
    <xf numFmtId="0" fontId="2" fillId="0" borderId="0" xfId="0" applyFont="1"/>
    <xf numFmtId="167" fontId="0" fillId="0" borderId="0" xfId="1" applyNumberFormat="1" applyFont="1"/>
    <xf numFmtId="167" fontId="0" fillId="0" borderId="1" xfId="1" applyNumberFormat="1" applyFont="1" applyBorder="1"/>
    <xf numFmtId="165" fontId="0" fillId="0" borderId="0" xfId="2" applyFont="1"/>
    <xf numFmtId="0" fontId="0" fillId="0" borderId="0" xfId="0" applyFill="1"/>
    <xf numFmtId="167" fontId="0" fillId="0" borderId="0" xfId="0" applyNumberFormat="1"/>
    <xf numFmtId="167" fontId="0" fillId="0" borderId="0" xfId="1" applyNumberFormat="1" applyFont="1" applyFill="1"/>
    <xf numFmtId="167" fontId="0" fillId="0" borderId="0" xfId="1" applyNumberFormat="1" applyFont="1" applyFill="1" applyBorder="1"/>
    <xf numFmtId="0" fontId="3" fillId="0" borderId="0" xfId="0" applyFont="1"/>
    <xf numFmtId="0" fontId="2" fillId="3" borderId="3" xfId="0" applyFont="1" applyFill="1" applyBorder="1"/>
    <xf numFmtId="0" fontId="0" fillId="3" borderId="4" xfId="0" applyFill="1" applyBorder="1"/>
    <xf numFmtId="0" fontId="2" fillId="3" borderId="8" xfId="0" applyFont="1" applyFill="1" applyBorder="1"/>
    <xf numFmtId="0" fontId="2" fillId="3" borderId="9" xfId="0" applyFont="1" applyFill="1" applyBorder="1" applyAlignment="1">
      <alignment horizontal="center"/>
    </xf>
    <xf numFmtId="0" fontId="2" fillId="5" borderId="5" xfId="0" applyFont="1" applyFill="1" applyBorder="1"/>
    <xf numFmtId="0" fontId="0" fillId="5" borderId="7" xfId="0" applyFill="1" applyBorder="1"/>
    <xf numFmtId="0" fontId="0" fillId="3" borderId="10" xfId="0" applyFill="1" applyBorder="1"/>
    <xf numFmtId="0" fontId="0" fillId="5" borderId="11" xfId="0" applyFill="1" applyBorder="1"/>
    <xf numFmtId="0" fontId="0" fillId="5" borderId="10" xfId="0" applyFill="1" applyBorder="1"/>
    <xf numFmtId="165" fontId="0" fillId="3" borderId="10" xfId="2" applyFont="1" applyFill="1" applyBorder="1"/>
    <xf numFmtId="165" fontId="0" fillId="3" borderId="10" xfId="0" applyNumberFormat="1" applyFill="1" applyBorder="1"/>
    <xf numFmtId="0" fontId="2" fillId="6" borderId="5" xfId="0" applyFont="1" applyFill="1" applyBorder="1"/>
    <xf numFmtId="0" fontId="0" fillId="6" borderId="7" xfId="0" applyFill="1" applyBorder="1"/>
    <xf numFmtId="0" fontId="0" fillId="6" borderId="11" xfId="0" applyFill="1" applyBorder="1"/>
    <xf numFmtId="0" fontId="0" fillId="6" borderId="15" xfId="0" applyFill="1" applyBorder="1"/>
    <xf numFmtId="0" fontId="0" fillId="6" borderId="8" xfId="0" applyFill="1" applyBorder="1"/>
    <xf numFmtId="0" fontId="0" fillId="0" borderId="15" xfId="0" applyBorder="1"/>
    <xf numFmtId="0" fontId="5" fillId="7" borderId="5" xfId="0" applyFont="1" applyFill="1" applyBorder="1"/>
    <xf numFmtId="0" fontId="0" fillId="7" borderId="15" xfId="0" applyFill="1" applyBorder="1"/>
    <xf numFmtId="0" fontId="0" fillId="3" borderId="0" xfId="0" applyFill="1"/>
    <xf numFmtId="0" fontId="3" fillId="7" borderId="13" xfId="0" applyFont="1" applyFill="1" applyBorder="1"/>
    <xf numFmtId="0" fontId="0" fillId="7" borderId="13" xfId="0" applyFill="1" applyBorder="1"/>
    <xf numFmtId="0" fontId="0" fillId="7" borderId="0" xfId="0" applyFill="1"/>
    <xf numFmtId="0" fontId="0" fillId="0" borderId="0" xfId="0" quotePrefix="1"/>
    <xf numFmtId="0" fontId="2" fillId="8" borderId="8" xfId="0" applyFont="1" applyFill="1" applyBorder="1"/>
    <xf numFmtId="0" fontId="0" fillId="8" borderId="15" xfId="0" applyFill="1" applyBorder="1"/>
    <xf numFmtId="0" fontId="0" fillId="8" borderId="11" xfId="0" applyFill="1" applyBorder="1"/>
    <xf numFmtId="0" fontId="0" fillId="8" borderId="0" xfId="0" applyFill="1"/>
    <xf numFmtId="0" fontId="0" fillId="8" borderId="0" xfId="0" applyFill="1" applyBorder="1"/>
    <xf numFmtId="170" fontId="0" fillId="0" borderId="0" xfId="2" applyNumberFormat="1" applyFont="1"/>
    <xf numFmtId="0" fontId="0" fillId="5" borderId="0" xfId="0" applyFill="1" applyBorder="1"/>
    <xf numFmtId="0" fontId="0" fillId="5" borderId="0" xfId="0" applyFill="1"/>
    <xf numFmtId="0" fontId="0" fillId="6" borderId="0" xfId="0" applyFill="1"/>
    <xf numFmtId="0" fontId="0" fillId="8" borderId="10" xfId="0" applyFill="1" applyBorder="1"/>
    <xf numFmtId="49" fontId="0" fillId="0" borderId="0" xfId="0" applyNumberFormat="1" applyAlignment="1">
      <alignment vertical="top" wrapText="1"/>
    </xf>
    <xf numFmtId="0" fontId="0" fillId="5" borderId="12" xfId="0" applyFill="1" applyBorder="1"/>
    <xf numFmtId="0" fontId="0" fillId="0" borderId="0" xfId="0" applyFill="1" applyBorder="1"/>
    <xf numFmtId="0" fontId="2" fillId="5" borderId="12" xfId="0" applyFont="1" applyFill="1" applyBorder="1"/>
    <xf numFmtId="0" fontId="0" fillId="5" borderId="13" xfId="0" applyFill="1" applyBorder="1"/>
    <xf numFmtId="0" fontId="2" fillId="5" borderId="15" xfId="0" applyFont="1" applyFill="1" applyBorder="1"/>
    <xf numFmtId="0" fontId="0" fillId="5" borderId="15" xfId="0" applyFill="1" applyBorder="1"/>
    <xf numFmtId="170" fontId="0" fillId="5" borderId="12" xfId="2" applyNumberFormat="1" applyFont="1" applyFill="1" applyBorder="1"/>
    <xf numFmtId="170" fontId="0" fillId="5" borderId="13" xfId="2" applyNumberFormat="1" applyFont="1" applyFill="1" applyBorder="1"/>
    <xf numFmtId="170" fontId="0" fillId="5" borderId="15" xfId="2" applyNumberFormat="1" applyFont="1" applyFill="1" applyBorder="1"/>
    <xf numFmtId="0" fontId="0" fillId="5" borderId="2" xfId="0" applyFill="1" applyBorder="1"/>
    <xf numFmtId="170" fontId="0" fillId="5" borderId="2" xfId="2" applyNumberFormat="1" applyFont="1" applyFill="1" applyBorder="1"/>
    <xf numFmtId="170" fontId="0" fillId="5" borderId="0" xfId="2" applyNumberFormat="1" applyFont="1" applyFill="1" applyBorder="1"/>
    <xf numFmtId="49" fontId="0" fillId="5" borderId="0" xfId="0" applyNumberFormat="1" applyFill="1" applyBorder="1" applyAlignment="1">
      <alignment vertical="top" wrapText="1"/>
    </xf>
    <xf numFmtId="49" fontId="0" fillId="5" borderId="1" xfId="0" applyNumberFormat="1" applyFill="1" applyBorder="1" applyAlignment="1">
      <alignment vertical="top" wrapText="1"/>
    </xf>
    <xf numFmtId="170" fontId="0" fillId="5" borderId="1" xfId="2" applyNumberFormat="1" applyFont="1" applyFill="1" applyBorder="1"/>
    <xf numFmtId="0" fontId="0" fillId="5" borderId="1" xfId="0" applyFill="1" applyBorder="1"/>
    <xf numFmtId="0" fontId="6" fillId="5" borderId="13" xfId="4" applyFill="1" applyBorder="1"/>
    <xf numFmtId="3" fontId="0" fillId="5" borderId="13" xfId="0" applyNumberFormat="1" applyFont="1" applyFill="1" applyBorder="1"/>
    <xf numFmtId="0" fontId="0" fillId="0" borderId="11" xfId="0" applyFill="1" applyBorder="1"/>
    <xf numFmtId="3" fontId="0" fillId="5" borderId="0" xfId="0" applyNumberFormat="1" applyFont="1" applyFill="1" applyBorder="1"/>
    <xf numFmtId="9" fontId="0" fillId="5" borderId="13" xfId="0" applyNumberFormat="1" applyFont="1" applyFill="1" applyBorder="1"/>
    <xf numFmtId="170" fontId="0" fillId="5" borderId="15" xfId="0" applyNumberFormat="1" applyFill="1" applyBorder="1"/>
    <xf numFmtId="0" fontId="2" fillId="6" borderId="0" xfId="0" applyFont="1" applyFill="1"/>
    <xf numFmtId="0" fontId="0" fillId="6" borderId="2" xfId="0" applyFill="1" applyBorder="1"/>
    <xf numFmtId="0" fontId="0" fillId="6" borderId="12" xfId="0" applyFill="1" applyBorder="1"/>
    <xf numFmtId="170" fontId="0" fillId="6" borderId="12" xfId="2" applyNumberFormat="1" applyFont="1" applyFill="1" applyBorder="1"/>
    <xf numFmtId="0" fontId="0" fillId="6" borderId="13" xfId="0" applyFill="1" applyBorder="1"/>
    <xf numFmtId="170" fontId="0" fillId="6" borderId="13" xfId="2" applyNumberFormat="1" applyFont="1" applyFill="1" applyBorder="1"/>
    <xf numFmtId="0" fontId="6" fillId="6" borderId="13" xfId="4" applyFill="1" applyBorder="1"/>
    <xf numFmtId="49" fontId="0" fillId="6" borderId="0" xfId="0" applyNumberFormat="1" applyFill="1" applyBorder="1" applyAlignment="1">
      <alignment vertical="top" wrapText="1"/>
    </xf>
    <xf numFmtId="3" fontId="0" fillId="6" borderId="13" xfId="0" applyNumberFormat="1" applyFont="1" applyFill="1" applyBorder="1"/>
    <xf numFmtId="0" fontId="2" fillId="6" borderId="15" xfId="0" applyFont="1" applyFill="1" applyBorder="1"/>
    <xf numFmtId="49" fontId="0" fillId="6" borderId="1" xfId="0" applyNumberFormat="1" applyFill="1" applyBorder="1" applyAlignment="1">
      <alignment vertical="top" wrapText="1"/>
    </xf>
    <xf numFmtId="170" fontId="0" fillId="6" borderId="15" xfId="2" applyNumberFormat="1" applyFont="1" applyFill="1" applyBorder="1"/>
    <xf numFmtId="0" fontId="2" fillId="6" borderId="11" xfId="0" applyFont="1" applyFill="1" applyBorder="1"/>
    <xf numFmtId="0" fontId="2" fillId="6" borderId="8" xfId="0" applyFont="1" applyFill="1" applyBorder="1"/>
    <xf numFmtId="0" fontId="2" fillId="6" borderId="12" xfId="0" applyFont="1" applyFill="1" applyBorder="1"/>
    <xf numFmtId="0" fontId="2" fillId="6" borderId="12" xfId="0" applyFont="1" applyFill="1" applyBorder="1" applyAlignment="1">
      <alignment vertical="top"/>
    </xf>
    <xf numFmtId="0" fontId="0" fillId="6" borderId="13" xfId="0" applyFill="1" applyBorder="1" applyAlignment="1">
      <alignment vertical="top"/>
    </xf>
    <xf numFmtId="170" fontId="0" fillId="6" borderId="15" xfId="0" applyNumberFormat="1" applyFill="1" applyBorder="1"/>
    <xf numFmtId="0" fontId="0" fillId="7" borderId="2" xfId="0" applyFill="1" applyBorder="1"/>
    <xf numFmtId="0" fontId="0" fillId="7" borderId="12" xfId="0" applyFill="1" applyBorder="1"/>
    <xf numFmtId="170" fontId="0" fillId="7" borderId="12" xfId="2" applyNumberFormat="1" applyFont="1" applyFill="1" applyBorder="1"/>
    <xf numFmtId="170" fontId="0" fillId="7" borderId="13" xfId="2" applyNumberFormat="1" applyFont="1" applyFill="1" applyBorder="1"/>
    <xf numFmtId="0" fontId="6" fillId="7" borderId="13" xfId="4" applyFill="1" applyBorder="1"/>
    <xf numFmtId="49" fontId="0" fillId="7" borderId="0" xfId="0" applyNumberFormat="1" applyFill="1" applyBorder="1" applyAlignment="1">
      <alignment vertical="top" wrapText="1"/>
    </xf>
    <xf numFmtId="3" fontId="0" fillId="7" borderId="13" xfId="0" applyNumberFormat="1" applyFont="1" applyFill="1" applyBorder="1"/>
    <xf numFmtId="0" fontId="2" fillId="7" borderId="15" xfId="0" applyFont="1" applyFill="1" applyBorder="1"/>
    <xf numFmtId="49" fontId="0" fillId="7" borderId="1" xfId="0" applyNumberFormat="1" applyFill="1" applyBorder="1" applyAlignment="1">
      <alignment vertical="top" wrapText="1"/>
    </xf>
    <xf numFmtId="170" fontId="0" fillId="7" borderId="15" xfId="2" applyNumberFormat="1" applyFont="1" applyFill="1" applyBorder="1"/>
    <xf numFmtId="0" fontId="5" fillId="7" borderId="13" xfId="0" applyFont="1" applyFill="1" applyBorder="1"/>
    <xf numFmtId="170" fontId="0" fillId="7" borderId="0" xfId="2" applyNumberFormat="1" applyFont="1" applyFill="1"/>
    <xf numFmtId="0" fontId="0" fillId="0" borderId="10" xfId="0" applyBorder="1"/>
    <xf numFmtId="0" fontId="0" fillId="6" borderId="10" xfId="0" applyFill="1" applyBorder="1"/>
    <xf numFmtId="0" fontId="2" fillId="6" borderId="10" xfId="0" applyFont="1" applyFill="1" applyBorder="1"/>
    <xf numFmtId="0" fontId="2" fillId="0" borderId="10" xfId="0" applyFont="1" applyFill="1" applyBorder="1"/>
    <xf numFmtId="0" fontId="0" fillId="6" borderId="10" xfId="0" applyFill="1" applyBorder="1" applyAlignment="1">
      <alignment horizontal="right"/>
    </xf>
    <xf numFmtId="165" fontId="2" fillId="6" borderId="10" xfId="2" applyFont="1" applyFill="1" applyBorder="1"/>
    <xf numFmtId="0" fontId="0" fillId="6" borderId="3" xfId="0" applyFill="1" applyBorder="1"/>
    <xf numFmtId="0" fontId="0" fillId="6" borderId="4" xfId="0" applyFill="1" applyBorder="1"/>
    <xf numFmtId="0" fontId="0" fillId="6" borderId="1" xfId="0" applyFill="1" applyBorder="1" applyAlignment="1">
      <alignment horizontal="right"/>
    </xf>
    <xf numFmtId="0" fontId="0" fillId="6" borderId="9" xfId="0" applyFill="1" applyBorder="1"/>
    <xf numFmtId="0" fontId="0" fillId="6" borderId="6" xfId="0" applyFill="1" applyBorder="1" applyAlignment="1">
      <alignment horizontal="right"/>
    </xf>
    <xf numFmtId="0" fontId="0" fillId="0" borderId="12" xfId="0" applyBorder="1"/>
    <xf numFmtId="0" fontId="0" fillId="0" borderId="11" xfId="0" applyBorder="1"/>
    <xf numFmtId="165" fontId="0" fillId="0" borderId="0" xfId="2" applyFont="1" applyFill="1" applyBorder="1" applyAlignment="1">
      <alignment horizontal="right"/>
    </xf>
    <xf numFmtId="0" fontId="0" fillId="0" borderId="14" xfId="0" applyBorder="1"/>
    <xf numFmtId="0" fontId="0" fillId="0" borderId="11" xfId="0" quotePrefix="1" applyBorder="1"/>
    <xf numFmtId="168" fontId="0" fillId="0" borderId="0" xfId="0" applyNumberFormat="1" applyFill="1" applyBorder="1"/>
    <xf numFmtId="165" fontId="2" fillId="0" borderId="14" xfId="2" applyFont="1" applyFill="1" applyBorder="1" applyAlignment="1">
      <alignment horizontal="right"/>
    </xf>
    <xf numFmtId="0" fontId="0" fillId="0" borderId="8" xfId="0" applyBorder="1"/>
    <xf numFmtId="0" fontId="0" fillId="0" borderId="9" xfId="0" applyBorder="1"/>
    <xf numFmtId="165" fontId="2" fillId="0" borderId="13" xfId="0" applyNumberFormat="1" applyFont="1" applyFill="1" applyBorder="1" applyAlignment="1">
      <alignment horizontal="right"/>
    </xf>
    <xf numFmtId="165" fontId="0" fillId="0" borderId="13" xfId="2" applyFont="1" applyBorder="1" applyAlignment="1">
      <alignment horizontal="right"/>
    </xf>
    <xf numFmtId="0" fontId="0" fillId="0" borderId="13" xfId="0" applyBorder="1" applyAlignment="1">
      <alignment horizontal="right"/>
    </xf>
    <xf numFmtId="0" fontId="2" fillId="0" borderId="5" xfId="0" applyFont="1" applyBorder="1"/>
    <xf numFmtId="165" fontId="0" fillId="0" borderId="6" xfId="2" applyFont="1" applyFill="1" applyBorder="1" applyAlignment="1">
      <alignment horizontal="right"/>
    </xf>
    <xf numFmtId="0" fontId="0" fillId="0" borderId="7" xfId="0" applyBorder="1"/>
    <xf numFmtId="165" fontId="0" fillId="0" borderId="12" xfId="0" applyNumberFormat="1" applyFill="1" applyBorder="1" applyAlignment="1">
      <alignment horizontal="right"/>
    </xf>
    <xf numFmtId="165" fontId="0" fillId="0" borderId="12" xfId="2" applyFont="1" applyBorder="1" applyAlignment="1">
      <alignment horizontal="right"/>
    </xf>
    <xf numFmtId="165" fontId="0" fillId="0" borderId="12" xfId="2" applyFont="1" applyFill="1" applyBorder="1" applyAlignment="1">
      <alignment horizontal="right"/>
    </xf>
    <xf numFmtId="165" fontId="2" fillId="0" borderId="12" xfId="0" applyNumberFormat="1" applyFont="1" applyFill="1" applyBorder="1" applyAlignment="1">
      <alignment horizontal="right"/>
    </xf>
    <xf numFmtId="165" fontId="2" fillId="0" borderId="10" xfId="0" applyNumberFormat="1" applyFont="1" applyFill="1" applyBorder="1" applyAlignment="1">
      <alignment horizontal="right"/>
    </xf>
    <xf numFmtId="165" fontId="2" fillId="0" borderId="12" xfId="2" applyFont="1" applyFill="1" applyBorder="1" applyAlignment="1">
      <alignment horizontal="right"/>
    </xf>
    <xf numFmtId="165" fontId="2" fillId="0" borderId="10" xfId="2" applyFont="1" applyBorder="1" applyAlignment="1">
      <alignment horizontal="right"/>
    </xf>
    <xf numFmtId="165" fontId="2" fillId="0" borderId="13" xfId="2" applyFont="1" applyBorder="1" applyAlignment="1">
      <alignment horizontal="right"/>
    </xf>
    <xf numFmtId="0" fontId="2" fillId="6" borderId="2" xfId="0" applyFont="1" applyFill="1" applyBorder="1"/>
    <xf numFmtId="0" fontId="0" fillId="6" borderId="15" xfId="0" applyFill="1" applyBorder="1" applyAlignment="1">
      <alignment horizontal="right"/>
    </xf>
    <xf numFmtId="165" fontId="0" fillId="0" borderId="3" xfId="2" applyFont="1" applyBorder="1"/>
    <xf numFmtId="165" fontId="0" fillId="0" borderId="2" xfId="2" applyFont="1" applyBorder="1"/>
    <xf numFmtId="165" fontId="0" fillId="0" borderId="4" xfId="2" applyFont="1" applyBorder="1"/>
    <xf numFmtId="165" fontId="0" fillId="0" borderId="11" xfId="2" applyFont="1" applyBorder="1"/>
    <xf numFmtId="165" fontId="0" fillId="0" borderId="0" xfId="2" applyFont="1" applyBorder="1"/>
    <xf numFmtId="165" fontId="0" fillId="0" borderId="14" xfId="2" applyFont="1" applyBorder="1"/>
    <xf numFmtId="165" fontId="0" fillId="0" borderId="8" xfId="2" applyFont="1" applyBorder="1"/>
    <xf numFmtId="165" fontId="0" fillId="0" borderId="1" xfId="2" applyFont="1" applyBorder="1"/>
    <xf numFmtId="165" fontId="0" fillId="0" borderId="9" xfId="2" applyFont="1" applyBorder="1"/>
    <xf numFmtId="165" fontId="0" fillId="0" borderId="5" xfId="2" applyFont="1" applyBorder="1"/>
    <xf numFmtId="165" fontId="0" fillId="0" borderId="6" xfId="2" applyFont="1" applyBorder="1"/>
    <xf numFmtId="165" fontId="0" fillId="0" borderId="7" xfId="2" applyFont="1" applyBorder="1"/>
    <xf numFmtId="167" fontId="0" fillId="0" borderId="2" xfId="1" applyNumberFormat="1" applyFont="1" applyFill="1" applyBorder="1"/>
    <xf numFmtId="167" fontId="0" fillId="0" borderId="4" xfId="1" applyNumberFormat="1" applyFont="1" applyBorder="1"/>
    <xf numFmtId="167" fontId="0" fillId="0" borderId="14" xfId="1" applyNumberFormat="1" applyFont="1" applyBorder="1"/>
    <xf numFmtId="167" fontId="0" fillId="0" borderId="1" xfId="1" applyNumberFormat="1" applyFont="1" applyFill="1" applyBorder="1"/>
    <xf numFmtId="167" fontId="0" fillId="0" borderId="9" xfId="1" applyNumberFormat="1" applyFont="1" applyBorder="1"/>
    <xf numFmtId="0" fontId="2" fillId="6" borderId="7" xfId="0" applyFont="1" applyFill="1" applyBorder="1"/>
    <xf numFmtId="0" fontId="2" fillId="6" borderId="6" xfId="0" applyFont="1" applyFill="1" applyBorder="1"/>
    <xf numFmtId="0" fontId="2" fillId="6" borderId="3" xfId="0" applyFont="1" applyFill="1" applyBorder="1"/>
    <xf numFmtId="0" fontId="2" fillId="6" borderId="4" xfId="0" applyFont="1" applyFill="1" applyBorder="1"/>
    <xf numFmtId="0" fontId="0" fillId="0" borderId="2" xfId="0" applyBorder="1"/>
    <xf numFmtId="0" fontId="0" fillId="0" borderId="0" xfId="0" applyBorder="1"/>
    <xf numFmtId="167" fontId="0" fillId="0" borderId="10" xfId="1" applyNumberFormat="1" applyFont="1" applyFill="1" applyBorder="1"/>
    <xf numFmtId="167" fontId="0" fillId="0" borderId="10" xfId="1" applyNumberFormat="1" applyFont="1" applyBorder="1"/>
    <xf numFmtId="167" fontId="2" fillId="0" borderId="10" xfId="1" applyNumberFormat="1" applyFont="1" applyBorder="1"/>
    <xf numFmtId="167" fontId="0" fillId="0" borderId="15" xfId="1" applyNumberFormat="1" applyFont="1" applyBorder="1"/>
    <xf numFmtId="167" fontId="2" fillId="0" borderId="15" xfId="1" applyNumberFormat="1" applyFont="1" applyBorder="1"/>
    <xf numFmtId="0" fontId="0" fillId="0" borderId="3" xfId="0" applyFill="1" applyBorder="1"/>
    <xf numFmtId="0" fontId="0" fillId="0" borderId="4" xfId="0" applyBorder="1"/>
    <xf numFmtId="0" fontId="0" fillId="0" borderId="8" xfId="0" applyFill="1" applyBorder="1"/>
    <xf numFmtId="0" fontId="0" fillId="0" borderId="1" xfId="0" applyFill="1" applyBorder="1"/>
    <xf numFmtId="0" fontId="0" fillId="0" borderId="1" xfId="0" applyBorder="1" applyAlignment="1"/>
    <xf numFmtId="0" fontId="0" fillId="0" borderId="9" xfId="0" applyBorder="1" applyAlignment="1"/>
    <xf numFmtId="0" fontId="2" fillId="0" borderId="8" xfId="0" applyFont="1" applyFill="1" applyBorder="1"/>
    <xf numFmtId="2" fontId="0" fillId="0" borderId="12" xfId="0" applyNumberFormat="1" applyBorder="1"/>
    <xf numFmtId="0" fontId="0" fillId="0" borderId="13" xfId="0" applyBorder="1"/>
    <xf numFmtId="167" fontId="2" fillId="0" borderId="9" xfId="1" applyNumberFormat="1" applyFont="1" applyFill="1" applyBorder="1"/>
    <xf numFmtId="167" fontId="0" fillId="0" borderId="12" xfId="1" applyNumberFormat="1" applyFont="1" applyBorder="1"/>
    <xf numFmtId="167" fontId="0" fillId="0" borderId="13" xfId="1" applyNumberFormat="1" applyFont="1" applyBorder="1"/>
    <xf numFmtId="0" fontId="2" fillId="0" borderId="10" xfId="0" applyFont="1" applyBorder="1"/>
    <xf numFmtId="167" fontId="0" fillId="0" borderId="10" xfId="0" applyNumberFormat="1" applyBorder="1"/>
    <xf numFmtId="0" fontId="0" fillId="0" borderId="3" xfId="0" applyBorder="1"/>
    <xf numFmtId="0" fontId="0" fillId="0" borderId="10" xfId="0" applyFont="1" applyBorder="1"/>
    <xf numFmtId="165" fontId="0" fillId="0" borderId="13" xfId="0" applyNumberFormat="1" applyBorder="1"/>
    <xf numFmtId="0" fontId="2" fillId="0" borderId="15" xfId="0" applyFont="1" applyBorder="1"/>
    <xf numFmtId="169" fontId="0" fillId="0" borderId="15" xfId="0" applyNumberFormat="1" applyBorder="1"/>
    <xf numFmtId="169" fontId="0" fillId="0" borderId="12" xfId="0" applyNumberFormat="1" applyBorder="1"/>
    <xf numFmtId="0" fontId="0" fillId="0" borderId="15" xfId="0" applyBorder="1" applyAlignment="1"/>
    <xf numFmtId="0" fontId="2" fillId="0" borderId="0" xfId="0" applyFont="1" applyFill="1"/>
    <xf numFmtId="0" fontId="0" fillId="0" borderId="0" xfId="0" applyFill="1" applyAlignment="1">
      <alignment horizontal="right"/>
    </xf>
    <xf numFmtId="165" fontId="0" fillId="0" borderId="0" xfId="2" applyFont="1" applyFill="1" applyAlignment="1">
      <alignment horizontal="right"/>
    </xf>
    <xf numFmtId="168" fontId="0" fillId="0" borderId="0" xfId="0" applyNumberFormat="1" applyFill="1"/>
    <xf numFmtId="170" fontId="0" fillId="0" borderId="0" xfId="2" applyNumberFormat="1" applyFont="1" applyFill="1"/>
    <xf numFmtId="0" fontId="2" fillId="0" borderId="0" xfId="0" applyFont="1" applyBorder="1"/>
    <xf numFmtId="165" fontId="0" fillId="0" borderId="0" xfId="2" applyFont="1" applyBorder="1" applyAlignment="1">
      <alignment horizontal="right"/>
    </xf>
    <xf numFmtId="0" fontId="7" fillId="7" borderId="0" xfId="0" applyFont="1" applyFill="1"/>
    <xf numFmtId="0" fontId="0" fillId="0" borderId="0" xfId="0" applyFill="1" applyAlignment="1"/>
    <xf numFmtId="0" fontId="7" fillId="6" borderId="10" xfId="0" applyFont="1" applyFill="1" applyBorder="1" applyAlignment="1">
      <alignment vertical="center"/>
    </xf>
    <xf numFmtId="0" fontId="0" fillId="5" borderId="2" xfId="0" applyFill="1" applyBorder="1" applyAlignment="1">
      <alignment vertical="top" wrapText="1"/>
    </xf>
    <xf numFmtId="0" fontId="0" fillId="4" borderId="0" xfId="0" applyFill="1"/>
    <xf numFmtId="170" fontId="0" fillId="4" borderId="0" xfId="2" applyNumberFormat="1" applyFont="1" applyFill="1"/>
    <xf numFmtId="0" fontId="2" fillId="9" borderId="10" xfId="0" applyFont="1" applyFill="1" applyBorder="1"/>
    <xf numFmtId="170" fontId="2" fillId="9" borderId="10" xfId="2" applyNumberFormat="1" applyFont="1" applyFill="1" applyBorder="1"/>
    <xf numFmtId="0" fontId="0" fillId="9" borderId="2" xfId="0" applyFill="1" applyBorder="1"/>
    <xf numFmtId="0" fontId="0" fillId="9" borderId="12" xfId="0" applyFill="1" applyBorder="1"/>
    <xf numFmtId="170" fontId="0" fillId="9" borderId="12" xfId="2" applyNumberFormat="1" applyFont="1" applyFill="1" applyBorder="1"/>
    <xf numFmtId="0" fontId="0" fillId="9" borderId="13" xfId="0" applyFill="1" applyBorder="1"/>
    <xf numFmtId="170" fontId="0" fillId="9" borderId="13" xfId="2" applyNumberFormat="1" applyFont="1" applyFill="1" applyBorder="1"/>
    <xf numFmtId="0" fontId="6" fillId="9" borderId="13" xfId="4" applyFill="1" applyBorder="1"/>
    <xf numFmtId="49" fontId="0" fillId="9" borderId="0" xfId="0" applyNumberFormat="1" applyFill="1" applyBorder="1" applyAlignment="1">
      <alignment vertical="top" wrapText="1"/>
    </xf>
    <xf numFmtId="3" fontId="0" fillId="9" borderId="13" xfId="0" applyNumberFormat="1" applyFont="1" applyFill="1" applyBorder="1"/>
    <xf numFmtId="0" fontId="2" fillId="9" borderId="15" xfId="0" applyFont="1" applyFill="1" applyBorder="1"/>
    <xf numFmtId="49" fontId="0" fillId="9" borderId="1" xfId="0" applyNumberFormat="1" applyFill="1" applyBorder="1" applyAlignment="1">
      <alignment vertical="top" wrapText="1"/>
    </xf>
    <xf numFmtId="0" fontId="0" fillId="9" borderId="15" xfId="0" applyFill="1" applyBorder="1"/>
    <xf numFmtId="170" fontId="0" fillId="9" borderId="15" xfId="2" applyNumberFormat="1" applyFont="1" applyFill="1" applyBorder="1"/>
    <xf numFmtId="0" fontId="2" fillId="9" borderId="12" xfId="0" applyFont="1" applyFill="1" applyBorder="1"/>
    <xf numFmtId="49" fontId="0" fillId="9" borderId="14" xfId="0" applyNumberFormat="1" applyFill="1" applyBorder="1" applyAlignment="1">
      <alignment vertical="top"/>
    </xf>
    <xf numFmtId="9" fontId="0" fillId="9" borderId="13" xfId="0" applyNumberFormat="1" applyFill="1" applyBorder="1"/>
    <xf numFmtId="9" fontId="0" fillId="9" borderId="13" xfId="0" applyNumberFormat="1" applyFont="1" applyFill="1" applyBorder="1"/>
    <xf numFmtId="170" fontId="0" fillId="9" borderId="11" xfId="2" applyNumberFormat="1" applyFont="1" applyFill="1" applyBorder="1"/>
    <xf numFmtId="170" fontId="0" fillId="9" borderId="8" xfId="2" applyNumberFormat="1" applyFont="1" applyFill="1" applyBorder="1"/>
    <xf numFmtId="0" fontId="0" fillId="9" borderId="14" xfId="0" applyFill="1" applyBorder="1"/>
    <xf numFmtId="165" fontId="0" fillId="9" borderId="15" xfId="2" applyFont="1" applyFill="1" applyBorder="1"/>
    <xf numFmtId="165" fontId="0" fillId="9" borderId="15" xfId="0" applyNumberFormat="1" applyFill="1" applyBorder="1"/>
    <xf numFmtId="165" fontId="0" fillId="9" borderId="13" xfId="2" applyNumberFormat="1" applyFont="1" applyFill="1" applyBorder="1"/>
    <xf numFmtId="165" fontId="0" fillId="7" borderId="13" xfId="2" applyNumberFormat="1" applyFont="1" applyFill="1" applyBorder="1"/>
    <xf numFmtId="170" fontId="0" fillId="6" borderId="0" xfId="2" applyNumberFormat="1" applyFont="1" applyFill="1"/>
    <xf numFmtId="165" fontId="0" fillId="5" borderId="2" xfId="2" applyFont="1" applyFill="1" applyBorder="1" applyAlignment="1">
      <alignment vertical="top" wrapText="1"/>
    </xf>
    <xf numFmtId="165" fontId="0" fillId="5" borderId="4" xfId="2" applyFont="1" applyFill="1" applyBorder="1" applyAlignment="1">
      <alignment vertical="top" wrapText="1"/>
    </xf>
    <xf numFmtId="0" fontId="2" fillId="5" borderId="3" xfId="0" applyFont="1" applyFill="1" applyBorder="1"/>
    <xf numFmtId="0" fontId="2" fillId="5" borderId="8" xfId="0" applyFont="1" applyFill="1" applyBorder="1"/>
    <xf numFmtId="0" fontId="0" fillId="5" borderId="9" xfId="0" applyFill="1" applyBorder="1"/>
    <xf numFmtId="170" fontId="0" fillId="5" borderId="9" xfId="2" applyNumberFormat="1" applyFont="1" applyFill="1" applyBorder="1"/>
    <xf numFmtId="0" fontId="2" fillId="9" borderId="3" xfId="0" applyFont="1" applyFill="1" applyBorder="1"/>
    <xf numFmtId="0" fontId="0" fillId="9" borderId="2" xfId="0" applyFill="1" applyBorder="1" applyAlignment="1">
      <alignment vertical="top" wrapText="1"/>
    </xf>
    <xf numFmtId="0" fontId="2" fillId="9" borderId="8" xfId="0" applyFont="1" applyFill="1" applyBorder="1"/>
    <xf numFmtId="0" fontId="0" fillId="9" borderId="1" xfId="0" applyFill="1" applyBorder="1"/>
    <xf numFmtId="170" fontId="0" fillId="9" borderId="1" xfId="2" applyNumberFormat="1" applyFont="1" applyFill="1" applyBorder="1"/>
    <xf numFmtId="170" fontId="0" fillId="9" borderId="9" xfId="2" applyNumberFormat="1" applyFont="1" applyFill="1" applyBorder="1"/>
    <xf numFmtId="0" fontId="0" fillId="7" borderId="0" xfId="0" applyFill="1" applyBorder="1"/>
    <xf numFmtId="170" fontId="0" fillId="7" borderId="0" xfId="2" applyNumberFormat="1" applyFont="1" applyFill="1" applyBorder="1"/>
    <xf numFmtId="165" fontId="0" fillId="7" borderId="0" xfId="2" applyFont="1" applyFill="1" applyBorder="1"/>
    <xf numFmtId="0" fontId="5" fillId="7" borderId="3" xfId="0" applyFont="1" applyFill="1" applyBorder="1"/>
    <xf numFmtId="170" fontId="0" fillId="7" borderId="2" xfId="2" applyNumberFormat="1" applyFont="1" applyFill="1" applyBorder="1"/>
    <xf numFmtId="0" fontId="0" fillId="7" borderId="14" xfId="0" applyFill="1" applyBorder="1"/>
    <xf numFmtId="0" fontId="6" fillId="7" borderId="11" xfId="4" applyFill="1" applyBorder="1"/>
    <xf numFmtId="0" fontId="2" fillId="7" borderId="8" xfId="0" applyFont="1" applyFill="1" applyBorder="1"/>
    <xf numFmtId="0" fontId="0" fillId="7" borderId="1" xfId="0" applyFill="1" applyBorder="1"/>
    <xf numFmtId="170" fontId="0" fillId="7" borderId="1" xfId="2" applyNumberFormat="1" applyFont="1" applyFill="1" applyBorder="1"/>
    <xf numFmtId="0" fontId="0" fillId="7" borderId="9" xfId="0" applyFill="1" applyBorder="1"/>
    <xf numFmtId="170" fontId="0" fillId="9" borderId="2" xfId="2" applyNumberFormat="1" applyFont="1" applyFill="1" applyBorder="1"/>
    <xf numFmtId="0" fontId="0" fillId="9" borderId="0" xfId="0" applyFill="1" applyBorder="1"/>
    <xf numFmtId="170" fontId="0" fillId="9" borderId="0" xfId="2" applyNumberFormat="1" applyFont="1" applyFill="1" applyBorder="1"/>
    <xf numFmtId="165" fontId="0" fillId="9" borderId="0" xfId="2" applyFont="1" applyFill="1" applyBorder="1"/>
    <xf numFmtId="0" fontId="0" fillId="9" borderId="9" xfId="0" applyFill="1" applyBorder="1"/>
    <xf numFmtId="165" fontId="0" fillId="9" borderId="0" xfId="0" applyNumberFormat="1" applyFill="1" applyBorder="1"/>
    <xf numFmtId="170" fontId="0" fillId="6" borderId="2" xfId="2" applyNumberFormat="1" applyFont="1" applyFill="1" applyBorder="1"/>
    <xf numFmtId="165" fontId="0" fillId="6" borderId="4" xfId="0" applyNumberFormat="1" applyFill="1" applyBorder="1"/>
    <xf numFmtId="0" fontId="0" fillId="6" borderId="0" xfId="0" applyFill="1" applyBorder="1"/>
    <xf numFmtId="170" fontId="0" fillId="6" borderId="0" xfId="2" applyNumberFormat="1" applyFont="1" applyFill="1" applyBorder="1"/>
    <xf numFmtId="0" fontId="0" fillId="6" borderId="14" xfId="0" applyFill="1" applyBorder="1"/>
    <xf numFmtId="0" fontId="6" fillId="6" borderId="11" xfId="4" applyFill="1" applyBorder="1"/>
    <xf numFmtId="165" fontId="0" fillId="6" borderId="0" xfId="2" applyFont="1" applyFill="1" applyBorder="1"/>
    <xf numFmtId="0" fontId="0" fillId="6" borderId="1" xfId="0" applyFill="1" applyBorder="1"/>
    <xf numFmtId="170" fontId="0" fillId="6" borderId="1" xfId="2" applyNumberFormat="1" applyFont="1" applyFill="1" applyBorder="1"/>
    <xf numFmtId="0" fontId="0" fillId="5" borderId="2" xfId="0" applyFill="1" applyBorder="1" applyAlignment="1">
      <alignment vertical="top"/>
    </xf>
    <xf numFmtId="165" fontId="0" fillId="6" borderId="4" xfId="2" applyFont="1" applyFill="1" applyBorder="1"/>
    <xf numFmtId="0" fontId="6" fillId="5" borderId="11" xfId="4" applyFill="1" applyBorder="1"/>
    <xf numFmtId="0" fontId="0" fillId="0" borderId="0" xfId="0" applyAlignment="1"/>
    <xf numFmtId="2" fontId="0" fillId="6" borderId="0" xfId="2" applyNumberFormat="1" applyFont="1" applyFill="1" applyBorder="1"/>
    <xf numFmtId="165" fontId="0" fillId="6" borderId="0" xfId="2" applyNumberFormat="1" applyFont="1" applyFill="1" applyBorder="1"/>
    <xf numFmtId="170" fontId="0" fillId="6" borderId="4" xfId="0" applyNumberFormat="1" applyFill="1" applyBorder="1"/>
    <xf numFmtId="165" fontId="0" fillId="6" borderId="1" xfId="2" applyFont="1" applyFill="1" applyBorder="1"/>
    <xf numFmtId="0" fontId="6" fillId="6" borderId="11" xfId="4" applyFill="1" applyBorder="1" applyAlignment="1">
      <alignment horizontal="left" vertical="top"/>
    </xf>
    <xf numFmtId="0" fontId="0" fillId="9" borderId="11" xfId="0" applyFill="1" applyBorder="1"/>
    <xf numFmtId="9" fontId="0" fillId="9" borderId="0" xfId="3" applyFont="1" applyFill="1" applyBorder="1"/>
    <xf numFmtId="9" fontId="0" fillId="9" borderId="1" xfId="3" applyFont="1" applyFill="1" applyBorder="1"/>
    <xf numFmtId="165" fontId="0" fillId="9" borderId="1" xfId="2" applyFont="1" applyFill="1" applyBorder="1"/>
    <xf numFmtId="165" fontId="0" fillId="9" borderId="9" xfId="0" applyNumberFormat="1" applyFill="1" applyBorder="1"/>
    <xf numFmtId="165" fontId="0" fillId="9" borderId="6" xfId="2" applyFont="1" applyFill="1" applyBorder="1"/>
    <xf numFmtId="165" fontId="0" fillId="9" borderId="7" xfId="2" applyFont="1" applyFill="1" applyBorder="1"/>
    <xf numFmtId="0" fontId="2" fillId="9" borderId="6" xfId="0" applyFont="1" applyFill="1" applyBorder="1"/>
    <xf numFmtId="3" fontId="0" fillId="9" borderId="0" xfId="0" applyNumberFormat="1" applyFont="1" applyFill="1" applyBorder="1"/>
    <xf numFmtId="170" fontId="0" fillId="9" borderId="4" xfId="0" applyNumberFormat="1" applyFill="1" applyBorder="1"/>
    <xf numFmtId="0" fontId="2" fillId="9" borderId="2" xfId="0" applyFont="1" applyFill="1" applyBorder="1"/>
    <xf numFmtId="170" fontId="0" fillId="9" borderId="6" xfId="2" applyNumberFormat="1" applyFont="1" applyFill="1" applyBorder="1"/>
    <xf numFmtId="170" fontId="0" fillId="9" borderId="7" xfId="0" applyNumberFormat="1" applyFill="1" applyBorder="1"/>
    <xf numFmtId="9" fontId="0" fillId="5" borderId="0" xfId="0" applyNumberFormat="1" applyFont="1" applyFill="1" applyBorder="1"/>
    <xf numFmtId="0" fontId="0" fillId="5" borderId="14" xfId="0" applyFill="1" applyBorder="1"/>
    <xf numFmtId="0" fontId="8" fillId="0" borderId="0" xfId="0" applyFont="1"/>
    <xf numFmtId="165" fontId="0" fillId="0" borderId="0" xfId="0" applyNumberFormat="1"/>
    <xf numFmtId="168" fontId="8" fillId="0" borderId="0" xfId="0" applyNumberFormat="1" applyFont="1"/>
    <xf numFmtId="165" fontId="0" fillId="10" borderId="0" xfId="2" applyFont="1" applyFill="1"/>
    <xf numFmtId="0" fontId="0" fillId="0" borderId="0" xfId="2" applyNumberFormat="1" applyFont="1"/>
    <xf numFmtId="9" fontId="0" fillId="10" borderId="0" xfId="3" applyFont="1" applyFill="1"/>
    <xf numFmtId="171" fontId="0" fillId="0" borderId="0" xfId="3" applyNumberFormat="1" applyFont="1"/>
    <xf numFmtId="0" fontId="0" fillId="10" borderId="0" xfId="0" applyFill="1"/>
    <xf numFmtId="9" fontId="8" fillId="0" borderId="0" xfId="3" applyFont="1"/>
    <xf numFmtId="164" fontId="8" fillId="0" borderId="0" xfId="0" applyNumberFormat="1" applyFont="1"/>
    <xf numFmtId="164" fontId="0" fillId="0" borderId="0" xfId="0" applyNumberFormat="1"/>
    <xf numFmtId="2" fontId="0" fillId="0" borderId="0" xfId="0" applyNumberFormat="1"/>
    <xf numFmtId="16" fontId="0" fillId="0" borderId="0" xfId="0" applyNumberFormat="1"/>
    <xf numFmtId="165" fontId="0" fillId="0" borderId="0" xfId="0" applyNumberFormat="1" applyFill="1"/>
    <xf numFmtId="165" fontId="0" fillId="0" borderId="0" xfId="0" quotePrefix="1" applyNumberFormat="1" applyFill="1"/>
    <xf numFmtId="0" fontId="0" fillId="0" borderId="0" xfId="0" applyFill="1" applyBorder="1" applyAlignment="1"/>
    <xf numFmtId="0" fontId="0" fillId="0" borderId="12" xfId="0" applyFill="1" applyBorder="1"/>
    <xf numFmtId="0" fontId="0" fillId="0" borderId="13" xfId="0" applyFill="1" applyBorder="1"/>
    <xf numFmtId="0" fontId="0" fillId="0" borderId="15" xfId="0" applyFill="1" applyBorder="1"/>
    <xf numFmtId="0" fontId="2" fillId="0" borderId="10" xfId="0" applyFont="1" applyFill="1" applyBorder="1" applyAlignment="1">
      <alignment horizontal="right"/>
    </xf>
    <xf numFmtId="0" fontId="2" fillId="6" borderId="13" xfId="0" applyFont="1" applyFill="1" applyBorder="1"/>
    <xf numFmtId="167" fontId="0" fillId="0" borderId="0" xfId="1" applyNumberFormat="1" applyFont="1" applyBorder="1"/>
    <xf numFmtId="165" fontId="2" fillId="6" borderId="10" xfId="2" applyFont="1" applyFill="1" applyBorder="1" applyAlignment="1">
      <alignment horizontal="right"/>
    </xf>
    <xf numFmtId="167" fontId="0" fillId="0" borderId="12" xfId="1" applyNumberFormat="1" applyFont="1" applyFill="1" applyBorder="1"/>
    <xf numFmtId="168" fontId="0" fillId="5" borderId="12" xfId="2" applyNumberFormat="1" applyFont="1" applyFill="1" applyBorder="1"/>
    <xf numFmtId="167" fontId="0" fillId="0" borderId="11" xfId="1" applyNumberFormat="1" applyFont="1" applyFill="1" applyBorder="1"/>
    <xf numFmtId="0" fontId="0" fillId="6" borderId="5" xfId="0" applyFill="1" applyBorder="1"/>
    <xf numFmtId="0" fontId="0" fillId="11" borderId="13" xfId="0" applyFill="1" applyBorder="1"/>
    <xf numFmtId="0" fontId="0" fillId="11" borderId="15" xfId="0" applyFill="1" applyBorder="1"/>
    <xf numFmtId="1" fontId="0" fillId="11" borderId="15" xfId="0" applyNumberFormat="1" applyFill="1" applyBorder="1"/>
    <xf numFmtId="1" fontId="0" fillId="0" borderId="1" xfId="0" applyNumberFormat="1" applyBorder="1"/>
    <xf numFmtId="0" fontId="2" fillId="6" borderId="14" xfId="0" applyFont="1" applyFill="1" applyBorder="1"/>
    <xf numFmtId="167" fontId="2" fillId="0" borderId="9" xfId="1" applyNumberFormat="1" applyFont="1" applyBorder="1"/>
    <xf numFmtId="0" fontId="0" fillId="5" borderId="3" xfId="0" applyFill="1" applyBorder="1"/>
    <xf numFmtId="170" fontId="0" fillId="5" borderId="5" xfId="2" applyNumberFormat="1" applyFont="1" applyFill="1" applyBorder="1"/>
    <xf numFmtId="170" fontId="0" fillId="5" borderId="6" xfId="2" applyNumberFormat="1" applyFont="1" applyFill="1" applyBorder="1"/>
    <xf numFmtId="170" fontId="0" fillId="5" borderId="7" xfId="0" applyNumberFormat="1" applyFill="1" applyBorder="1"/>
    <xf numFmtId="0" fontId="6" fillId="0" borderId="0" xfId="4"/>
    <xf numFmtId="170" fontId="0" fillId="5" borderId="13" xfId="0" applyNumberFormat="1" applyFill="1" applyBorder="1"/>
    <xf numFmtId="170" fontId="0" fillId="3" borderId="10" xfId="2" applyNumberFormat="1" applyFont="1" applyFill="1" applyBorder="1"/>
    <xf numFmtId="49" fontId="0" fillId="9" borderId="13" xfId="0" applyNumberFormat="1" applyFill="1" applyBorder="1" applyAlignment="1">
      <alignment vertical="top" wrapText="1"/>
    </xf>
    <xf numFmtId="0" fontId="0" fillId="5" borderId="4" xfId="0" applyFill="1" applyBorder="1"/>
    <xf numFmtId="49" fontId="0" fillId="5" borderId="13" xfId="0" applyNumberFormat="1" applyFill="1" applyBorder="1" applyAlignment="1">
      <alignment vertical="top" wrapText="1"/>
    </xf>
    <xf numFmtId="0" fontId="0" fillId="5" borderId="0" xfId="0" applyFill="1" applyAlignment="1">
      <alignment vertical="center" wrapText="1"/>
    </xf>
    <xf numFmtId="168" fontId="0" fillId="5" borderId="12" xfId="0" applyNumberFormat="1" applyFill="1" applyBorder="1"/>
    <xf numFmtId="0" fontId="0" fillId="5" borderId="0" xfId="0" applyFill="1" applyBorder="1" applyAlignment="1">
      <alignment vertical="center" wrapText="1"/>
    </xf>
    <xf numFmtId="168" fontId="0" fillId="5" borderId="7" xfId="0" applyNumberFormat="1" applyFill="1" applyBorder="1"/>
    <xf numFmtId="168" fontId="0" fillId="5" borderId="13" xfId="0" applyNumberFormat="1" applyFill="1" applyBorder="1"/>
    <xf numFmtId="49" fontId="0" fillId="5" borderId="11" xfId="0" applyNumberFormat="1" applyFill="1" applyBorder="1" applyAlignment="1">
      <alignment vertical="top" wrapText="1"/>
    </xf>
    <xf numFmtId="49" fontId="0" fillId="5" borderId="8" xfId="0" applyNumberFormat="1" applyFill="1" applyBorder="1" applyAlignment="1">
      <alignment vertical="top" wrapText="1"/>
    </xf>
    <xf numFmtId="0" fontId="0" fillId="5" borderId="13" xfId="0" applyFill="1" applyBorder="1" applyAlignment="1">
      <alignment vertical="center" wrapText="1"/>
    </xf>
    <xf numFmtId="0" fontId="4" fillId="0" borderId="0" xfId="0" applyFont="1" applyFill="1" applyBorder="1" applyAlignment="1">
      <alignment vertical="center"/>
    </xf>
    <xf numFmtId="0" fontId="0" fillId="0" borderId="0" xfId="0" applyFill="1" applyBorder="1" applyAlignment="1">
      <alignment vertical="center" wrapText="1"/>
    </xf>
    <xf numFmtId="167" fontId="0" fillId="0" borderId="3" xfId="1" applyNumberFormat="1" applyFont="1" applyFill="1" applyBorder="1"/>
    <xf numFmtId="167" fontId="2" fillId="0" borderId="8" xfId="1" applyNumberFormat="1" applyFont="1" applyBorder="1"/>
    <xf numFmtId="167" fontId="2" fillId="0" borderId="0" xfId="0" applyNumberFormat="1" applyFont="1"/>
    <xf numFmtId="165" fontId="0" fillId="0" borderId="0" xfId="2" applyNumberFormat="1" applyFont="1"/>
    <xf numFmtId="172" fontId="0" fillId="6" borderId="5" xfId="2" applyNumberFormat="1" applyFont="1" applyFill="1" applyBorder="1"/>
    <xf numFmtId="170" fontId="0" fillId="6" borderId="6" xfId="2" applyNumberFormat="1" applyFont="1" applyFill="1" applyBorder="1"/>
    <xf numFmtId="170" fontId="0" fillId="6" borderId="5" xfId="2" applyNumberFormat="1" applyFont="1" applyFill="1" applyBorder="1"/>
    <xf numFmtId="170" fontId="0" fillId="6" borderId="7" xfId="0" applyNumberFormat="1" applyFill="1" applyBorder="1"/>
    <xf numFmtId="0" fontId="0" fillId="6" borderId="2" xfId="0" applyFill="1" applyBorder="1" applyAlignment="1">
      <alignment vertical="top" wrapText="1"/>
    </xf>
    <xf numFmtId="165" fontId="0" fillId="6" borderId="5" xfId="2" applyFont="1" applyFill="1" applyBorder="1" applyAlignment="1">
      <alignment vertical="top" wrapText="1"/>
    </xf>
    <xf numFmtId="165" fontId="0" fillId="6" borderId="6" xfId="2" applyFont="1" applyFill="1" applyBorder="1" applyAlignment="1">
      <alignment vertical="top" wrapText="1"/>
    </xf>
    <xf numFmtId="165" fontId="0" fillId="6" borderId="7" xfId="2" applyFont="1" applyFill="1" applyBorder="1" applyAlignment="1">
      <alignment vertical="top" wrapText="1"/>
    </xf>
    <xf numFmtId="165" fontId="0" fillId="6" borderId="13" xfId="2" applyNumberFormat="1" applyFont="1" applyFill="1" applyBorder="1"/>
    <xf numFmtId="165" fontId="0" fillId="6" borderId="5" xfId="2" applyNumberFormat="1" applyFont="1" applyFill="1" applyBorder="1"/>
    <xf numFmtId="165" fontId="0" fillId="6" borderId="6" xfId="2" applyNumberFormat="1" applyFont="1" applyFill="1" applyBorder="1"/>
    <xf numFmtId="165" fontId="0" fillId="6" borderId="7" xfId="0" applyNumberFormat="1" applyFill="1" applyBorder="1"/>
    <xf numFmtId="49" fontId="0" fillId="7" borderId="13" xfId="0" applyNumberFormat="1" applyFill="1" applyBorder="1" applyAlignment="1">
      <alignment vertical="top" wrapText="1"/>
    </xf>
    <xf numFmtId="170" fontId="0" fillId="7" borderId="12" xfId="0" applyNumberFormat="1" applyFill="1" applyBorder="1"/>
    <xf numFmtId="0" fontId="0" fillId="7" borderId="3" xfId="0" applyFill="1" applyBorder="1"/>
    <xf numFmtId="170" fontId="0" fillId="7" borderId="5" xfId="2" applyNumberFormat="1" applyFont="1" applyFill="1" applyBorder="1"/>
    <xf numFmtId="170" fontId="0" fillId="7" borderId="6" xfId="2" applyNumberFormat="1" applyFont="1" applyFill="1" applyBorder="1"/>
    <xf numFmtId="170" fontId="0" fillId="7" borderId="7" xfId="0" applyNumberFormat="1" applyFill="1" applyBorder="1"/>
    <xf numFmtId="170" fontId="0" fillId="7" borderId="11" xfId="2" applyNumberFormat="1" applyFont="1" applyFill="1" applyBorder="1"/>
    <xf numFmtId="170" fontId="0" fillId="7" borderId="8" xfId="2" applyNumberFormat="1" applyFont="1" applyFill="1" applyBorder="1"/>
    <xf numFmtId="165" fontId="0" fillId="7" borderId="12" xfId="2" applyFont="1" applyFill="1" applyBorder="1"/>
    <xf numFmtId="165" fontId="0" fillId="7" borderId="14" xfId="0" applyNumberFormat="1" applyFill="1" applyBorder="1"/>
    <xf numFmtId="173" fontId="0" fillId="0" borderId="0" xfId="2" applyNumberFormat="1" applyFont="1"/>
    <xf numFmtId="167" fontId="0" fillId="7" borderId="15" xfId="1" applyNumberFormat="1" applyFont="1" applyFill="1" applyBorder="1"/>
    <xf numFmtId="49" fontId="0" fillId="7" borderId="14" xfId="0" applyNumberFormat="1" applyFill="1" applyBorder="1" applyAlignment="1">
      <alignment vertical="top" wrapText="1"/>
    </xf>
    <xf numFmtId="0" fontId="2" fillId="7" borderId="12" xfId="0" applyFont="1" applyFill="1" applyBorder="1"/>
    <xf numFmtId="165" fontId="0" fillId="7" borderId="15" xfId="2" applyFont="1" applyFill="1" applyBorder="1"/>
    <xf numFmtId="165" fontId="0" fillId="7" borderId="6" xfId="2" applyNumberFormat="1" applyFont="1" applyFill="1" applyBorder="1"/>
    <xf numFmtId="165" fontId="0" fillId="7" borderId="7" xfId="0" applyNumberFormat="1" applyFill="1" applyBorder="1"/>
    <xf numFmtId="170" fontId="0" fillId="9" borderId="5" xfId="2" applyNumberFormat="1" applyFont="1" applyFill="1" applyBorder="1"/>
    <xf numFmtId="165" fontId="0" fillId="9" borderId="10" xfId="2" applyFont="1" applyFill="1" applyBorder="1"/>
    <xf numFmtId="165" fontId="0" fillId="9" borderId="10" xfId="0" applyNumberFormat="1" applyFill="1" applyBorder="1"/>
    <xf numFmtId="174" fontId="0" fillId="6" borderId="5" xfId="1" applyNumberFormat="1" applyFont="1" applyFill="1" applyBorder="1" applyAlignment="1">
      <alignment vertical="top" wrapText="1"/>
    </xf>
    <xf numFmtId="174" fontId="0" fillId="6" borderId="6" xfId="1" applyNumberFormat="1" applyFont="1" applyFill="1" applyBorder="1" applyAlignment="1">
      <alignment vertical="top" wrapText="1"/>
    </xf>
    <xf numFmtId="174" fontId="0" fillId="6" borderId="7" xfId="1" applyNumberFormat="1" applyFont="1" applyFill="1" applyBorder="1" applyAlignment="1">
      <alignment vertical="top" wrapText="1"/>
    </xf>
    <xf numFmtId="0" fontId="9" fillId="4" borderId="0" xfId="0" applyFont="1" applyFill="1"/>
    <xf numFmtId="166" fontId="0" fillId="5" borderId="2" xfId="1" applyFont="1" applyFill="1" applyBorder="1" applyAlignment="1">
      <alignment vertical="top"/>
    </xf>
    <xf numFmtId="166" fontId="0" fillId="5" borderId="4" xfId="1" applyFont="1" applyFill="1" applyBorder="1" applyAlignment="1">
      <alignment vertical="top"/>
    </xf>
    <xf numFmtId="166" fontId="0" fillId="5" borderId="12" xfId="1" applyFont="1" applyFill="1" applyBorder="1"/>
    <xf numFmtId="0" fontId="5" fillId="5" borderId="12" xfId="0" applyFont="1" applyFill="1" applyBorder="1"/>
    <xf numFmtId="0" fontId="0" fillId="5" borderId="3" xfId="0" applyFont="1" applyFill="1" applyBorder="1"/>
    <xf numFmtId="0" fontId="5" fillId="6" borderId="0" xfId="0" applyFont="1" applyFill="1"/>
    <xf numFmtId="0" fontId="0" fillId="5" borderId="8" xfId="0" applyFill="1" applyBorder="1"/>
    <xf numFmtId="0" fontId="0" fillId="9" borderId="4" xfId="0" applyFill="1" applyBorder="1"/>
    <xf numFmtId="0" fontId="5" fillId="7" borderId="12" xfId="0" applyFont="1" applyFill="1" applyBorder="1"/>
    <xf numFmtId="170" fontId="0" fillId="3" borderId="10" xfId="0" applyNumberFormat="1" applyFill="1" applyBorder="1"/>
    <xf numFmtId="0" fontId="2" fillId="3" borderId="10" xfId="0" applyFont="1" applyFill="1" applyBorder="1" applyAlignment="1">
      <alignment vertical="center"/>
    </xf>
    <xf numFmtId="0" fontId="2" fillId="3" borderId="10" xfId="0" applyFont="1" applyFill="1" applyBorder="1"/>
    <xf numFmtId="10" fontId="0" fillId="0" borderId="0" xfId="0" applyNumberFormat="1" applyFill="1" applyBorder="1"/>
    <xf numFmtId="170" fontId="0" fillId="0" borderId="0" xfId="0" applyNumberFormat="1" applyFill="1" applyBorder="1"/>
    <xf numFmtId="0" fontId="0" fillId="0" borderId="0" xfId="2" applyNumberFormat="1" applyFont="1" applyFill="1" applyBorder="1"/>
    <xf numFmtId="167" fontId="0" fillId="3" borderId="10" xfId="1" applyNumberFormat="1" applyFont="1" applyFill="1" applyBorder="1"/>
    <xf numFmtId="173" fontId="0" fillId="0" borderId="0" xfId="0" applyNumberFormat="1"/>
    <xf numFmtId="0" fontId="0" fillId="5" borderId="12" xfId="0" applyFont="1" applyFill="1" applyBorder="1"/>
    <xf numFmtId="170" fontId="0" fillId="6" borderId="12" xfId="0" applyNumberFormat="1" applyFill="1" applyBorder="1"/>
    <xf numFmtId="170" fontId="0" fillId="6" borderId="10" xfId="2" applyNumberFormat="1" applyFont="1" applyFill="1" applyBorder="1"/>
    <xf numFmtId="0" fontId="2" fillId="0" borderId="0" xfId="0" applyFont="1" applyFill="1" applyBorder="1"/>
    <xf numFmtId="167" fontId="0" fillId="0" borderId="13" xfId="1" applyNumberFormat="1" applyFont="1" applyFill="1" applyBorder="1"/>
    <xf numFmtId="167" fontId="0" fillId="0" borderId="8" xfId="1" applyNumberFormat="1" applyFont="1" applyFill="1" applyBorder="1"/>
    <xf numFmtId="167" fontId="0" fillId="0" borderId="15" xfId="1" applyNumberFormat="1" applyFont="1" applyFill="1" applyBorder="1"/>
    <xf numFmtId="0" fontId="2" fillId="0" borderId="3" xfId="0" applyFont="1" applyBorder="1"/>
    <xf numFmtId="167" fontId="0" fillId="0" borderId="2" xfId="1" applyNumberFormat="1" applyFont="1" applyBorder="1"/>
    <xf numFmtId="167" fontId="3" fillId="0" borderId="15" xfId="1" applyNumberFormat="1" applyFont="1" applyFill="1" applyBorder="1"/>
    <xf numFmtId="0" fontId="0" fillId="2" borderId="0" xfId="0" applyFill="1"/>
    <xf numFmtId="168" fontId="0" fillId="0" borderId="0" xfId="0" applyNumberFormat="1" applyBorder="1"/>
    <xf numFmtId="168" fontId="0" fillId="0" borderId="0" xfId="0" quotePrefix="1" applyNumberFormat="1" applyBorder="1"/>
    <xf numFmtId="168" fontId="0" fillId="0" borderId="14" xfId="0" applyNumberFormat="1" applyBorder="1"/>
    <xf numFmtId="168" fontId="2" fillId="0" borderId="0" xfId="0" applyNumberFormat="1" applyFont="1" applyBorder="1"/>
    <xf numFmtId="168" fontId="2" fillId="0" borderId="14" xfId="0" applyNumberFormat="1" applyFont="1" applyBorder="1"/>
    <xf numFmtId="0" fontId="2" fillId="0" borderId="11" xfId="0" applyFont="1" applyFill="1" applyBorder="1"/>
    <xf numFmtId="168" fontId="2" fillId="0" borderId="0" xfId="0" applyNumberFormat="1" applyFont="1" applyFill="1" applyBorder="1"/>
    <xf numFmtId="168" fontId="0" fillId="0" borderId="14" xfId="0" applyNumberFormat="1" applyFill="1" applyBorder="1"/>
    <xf numFmtId="165" fontId="0" fillId="0" borderId="0" xfId="0" applyNumberFormat="1" applyBorder="1"/>
    <xf numFmtId="168" fontId="0" fillId="0" borderId="1" xfId="0" applyNumberFormat="1" applyBorder="1"/>
    <xf numFmtId="168" fontId="2" fillId="0" borderId="9" xfId="0" applyNumberFormat="1" applyFont="1" applyBorder="1"/>
    <xf numFmtId="168" fontId="0" fillId="0" borderId="3" xfId="0" applyNumberFormat="1" applyBorder="1"/>
    <xf numFmtId="168" fontId="0" fillId="0" borderId="4" xfId="0" applyNumberFormat="1" applyBorder="1"/>
    <xf numFmtId="168" fontId="0" fillId="0" borderId="11" xfId="0" applyNumberFormat="1" applyBorder="1"/>
    <xf numFmtId="168" fontId="0" fillId="0" borderId="8" xfId="0" applyNumberFormat="1" applyBorder="1"/>
    <xf numFmtId="168" fontId="2" fillId="0" borderId="8" xfId="0" applyNumberFormat="1" applyFont="1" applyFill="1" applyBorder="1"/>
    <xf numFmtId="168" fontId="0" fillId="0" borderId="9" xfId="0" applyNumberFormat="1" applyFill="1" applyBorder="1"/>
    <xf numFmtId="168" fontId="2" fillId="0" borderId="8" xfId="0" applyNumberFormat="1" applyFont="1" applyBorder="1"/>
    <xf numFmtId="168" fontId="0" fillId="0" borderId="9" xfId="0" applyNumberFormat="1" applyBorder="1"/>
    <xf numFmtId="168" fontId="2" fillId="0" borderId="11" xfId="0" applyNumberFormat="1" applyFont="1" applyBorder="1"/>
    <xf numFmtId="165" fontId="0" fillId="0" borderId="11" xfId="0" applyNumberFormat="1" applyBorder="1"/>
    <xf numFmtId="168" fontId="0" fillId="0" borderId="2" xfId="0" applyNumberFormat="1" applyBorder="1"/>
    <xf numFmtId="168" fontId="0" fillId="0" borderId="11" xfId="0" applyNumberFormat="1" applyFill="1" applyBorder="1"/>
    <xf numFmtId="165" fontId="0" fillId="0" borderId="8" xfId="0" applyNumberFormat="1" applyBorder="1"/>
    <xf numFmtId="168" fontId="0" fillId="6" borderId="5" xfId="0" applyNumberFormat="1" applyFill="1" applyBorder="1"/>
    <xf numFmtId="168" fontId="0" fillId="6" borderId="6" xfId="0" applyNumberFormat="1" applyFill="1" applyBorder="1"/>
    <xf numFmtId="168" fontId="0" fillId="6" borderId="7" xfId="0" applyNumberFormat="1" applyFill="1" applyBorder="1"/>
    <xf numFmtId="165" fontId="0" fillId="0" borderId="4" xfId="2" applyFont="1" applyFill="1" applyBorder="1" applyAlignment="1">
      <alignment horizontal="right"/>
    </xf>
    <xf numFmtId="0" fontId="0" fillId="0" borderId="14" xfId="0" applyFill="1" applyBorder="1"/>
    <xf numFmtId="0" fontId="0" fillId="0" borderId="5" xfId="0" applyBorder="1"/>
    <xf numFmtId="0" fontId="0" fillId="0" borderId="7" xfId="0" applyFill="1" applyBorder="1"/>
    <xf numFmtId="0" fontId="0" fillId="0" borderId="13" xfId="0" applyFill="1" applyBorder="1" applyAlignment="1">
      <alignment horizontal="center"/>
    </xf>
    <xf numFmtId="0" fontId="0" fillId="0" borderId="14" xfId="0" applyFill="1" applyBorder="1" applyAlignment="1">
      <alignment horizontal="center"/>
    </xf>
    <xf numFmtId="0" fontId="0" fillId="5" borderId="12" xfId="0" quotePrefix="1" applyFill="1" applyBorder="1"/>
    <xf numFmtId="0" fontId="2" fillId="0" borderId="0" xfId="0" applyFont="1" applyFill="1" applyBorder="1" applyAlignment="1"/>
    <xf numFmtId="0" fontId="2" fillId="0" borderId="11" xfId="0" applyFont="1" applyFill="1" applyBorder="1" applyAlignment="1"/>
    <xf numFmtId="167" fontId="2" fillId="6" borderId="10" xfId="1" applyNumberFormat="1" applyFont="1" applyFill="1" applyBorder="1"/>
    <xf numFmtId="165" fontId="2" fillId="3" borderId="10" xfId="2" applyFont="1" applyFill="1" applyBorder="1"/>
    <xf numFmtId="0" fontId="0" fillId="13" borderId="0" xfId="0" applyFill="1"/>
    <xf numFmtId="165" fontId="3" fillId="13" borderId="0" xfId="0" applyNumberFormat="1" applyFont="1" applyFill="1"/>
    <xf numFmtId="165" fontId="0" fillId="13" borderId="0" xfId="0" applyNumberFormat="1" applyFill="1"/>
    <xf numFmtId="0" fontId="3" fillId="13" borderId="1" xfId="0" applyFont="1" applyFill="1" applyBorder="1"/>
    <xf numFmtId="0" fontId="3" fillId="13" borderId="15" xfId="0" applyFont="1" applyFill="1" applyBorder="1"/>
    <xf numFmtId="165" fontId="3" fillId="13" borderId="13" xfId="0" applyNumberFormat="1" applyFont="1" applyFill="1" applyBorder="1"/>
    <xf numFmtId="165" fontId="0" fillId="13" borderId="13" xfId="0" applyNumberFormat="1" applyFill="1" applyBorder="1"/>
    <xf numFmtId="0" fontId="0" fillId="13" borderId="16" xfId="0" applyFill="1" applyBorder="1"/>
    <xf numFmtId="165" fontId="3" fillId="13" borderId="17" xfId="0" applyNumberFormat="1" applyFont="1" applyFill="1" applyBorder="1"/>
    <xf numFmtId="165" fontId="3" fillId="13" borderId="16" xfId="0" applyNumberFormat="1" applyFont="1" applyFill="1" applyBorder="1"/>
    <xf numFmtId="167" fontId="3" fillId="0" borderId="0" xfId="1" applyNumberFormat="1" applyFont="1"/>
    <xf numFmtId="165" fontId="2" fillId="6" borderId="6" xfId="2" applyFont="1" applyFill="1" applyBorder="1" applyAlignment="1">
      <alignment horizontal="left"/>
    </xf>
    <xf numFmtId="0" fontId="0" fillId="0" borderId="5" xfId="0" applyFill="1" applyBorder="1"/>
    <xf numFmtId="2" fontId="0" fillId="0" borderId="10" xfId="0" applyNumberFormat="1" applyBorder="1"/>
    <xf numFmtId="165" fontId="0" fillId="0" borderId="12" xfId="0" applyNumberFormat="1" applyFill="1" applyBorder="1"/>
    <xf numFmtId="165" fontId="0" fillId="0" borderId="13" xfId="0" applyNumberFormat="1" applyFill="1" applyBorder="1"/>
    <xf numFmtId="165" fontId="0" fillId="0" borderId="12" xfId="2" applyFont="1" applyFill="1" applyBorder="1"/>
    <xf numFmtId="165" fontId="0" fillId="0" borderId="13" xfId="2" applyFont="1" applyFill="1" applyBorder="1"/>
    <xf numFmtId="170" fontId="2" fillId="0" borderId="8" xfId="2" applyNumberFormat="1" applyFont="1" applyFill="1" applyBorder="1"/>
    <xf numFmtId="0" fontId="0" fillId="0" borderId="15" xfId="0" applyFill="1" applyBorder="1" applyAlignment="1">
      <alignment horizontal="right"/>
    </xf>
    <xf numFmtId="170" fontId="0" fillId="0" borderId="12" xfId="0" applyNumberFormat="1" applyFill="1" applyBorder="1"/>
    <xf numFmtId="170" fontId="0" fillId="0" borderId="13" xfId="0" applyNumberFormat="1" applyFill="1" applyBorder="1"/>
    <xf numFmtId="170" fontId="0" fillId="0" borderId="15" xfId="0" applyNumberFormat="1" applyFill="1" applyBorder="1"/>
    <xf numFmtId="0" fontId="0" fillId="0" borderId="10" xfId="0" applyFill="1" applyBorder="1"/>
    <xf numFmtId="165" fontId="0" fillId="0" borderId="10" xfId="2" applyFont="1" applyFill="1" applyBorder="1" applyAlignment="1">
      <alignment horizontal="right"/>
    </xf>
    <xf numFmtId="165" fontId="0" fillId="0" borderId="10" xfId="0" applyNumberFormat="1" applyFill="1" applyBorder="1"/>
    <xf numFmtId="166" fontId="0" fillId="0" borderId="0" xfId="1" applyFont="1"/>
    <xf numFmtId="0" fontId="2" fillId="0" borderId="0" xfId="0" applyFont="1" applyFill="1" applyBorder="1" applyAlignment="1">
      <alignment horizontal="right"/>
    </xf>
    <xf numFmtId="165" fontId="0" fillId="0" borderId="19" xfId="0" applyNumberFormat="1" applyFill="1" applyBorder="1"/>
    <xf numFmtId="168" fontId="2" fillId="0" borderId="18" xfId="0" applyNumberFormat="1" applyFont="1" applyFill="1" applyBorder="1"/>
    <xf numFmtId="0" fontId="0" fillId="14" borderId="12" xfId="0" applyFill="1" applyBorder="1"/>
    <xf numFmtId="0" fontId="0" fillId="14" borderId="13" xfId="0" applyFill="1" applyBorder="1"/>
    <xf numFmtId="167" fontId="0" fillId="14" borderId="12" xfId="1" applyNumberFormat="1" applyFont="1" applyFill="1" applyBorder="1"/>
    <xf numFmtId="167" fontId="0" fillId="14" borderId="15" xfId="1" applyNumberFormat="1" applyFont="1" applyFill="1" applyBorder="1"/>
    <xf numFmtId="165" fontId="0" fillId="14" borderId="12" xfId="2" applyFont="1" applyFill="1" applyBorder="1" applyAlignment="1">
      <alignment horizontal="right"/>
    </xf>
    <xf numFmtId="165" fontId="0" fillId="14" borderId="13" xfId="2" applyFont="1" applyFill="1" applyBorder="1" applyAlignment="1">
      <alignment horizontal="right"/>
    </xf>
    <xf numFmtId="165" fontId="0" fillId="14" borderId="15" xfId="2" applyFont="1" applyFill="1" applyBorder="1" applyAlignment="1">
      <alignment horizontal="right"/>
    </xf>
    <xf numFmtId="168" fontId="0" fillId="14" borderId="13" xfId="0" applyNumberFormat="1" applyFill="1" applyBorder="1"/>
    <xf numFmtId="168" fontId="0" fillId="14" borderId="15" xfId="0" applyNumberFormat="1" applyFill="1" applyBorder="1"/>
    <xf numFmtId="167" fontId="0" fillId="14" borderId="13" xfId="1" applyNumberFormat="1" applyFont="1" applyFill="1" applyBorder="1"/>
    <xf numFmtId="167" fontId="0" fillId="14" borderId="0" xfId="1" applyNumberFormat="1" applyFont="1" applyFill="1" applyBorder="1"/>
    <xf numFmtId="167" fontId="0" fillId="14" borderId="8" xfId="1" applyNumberFormat="1" applyFont="1" applyFill="1" applyBorder="1"/>
    <xf numFmtId="165" fontId="0" fillId="14" borderId="10" xfId="0" applyNumberFormat="1" applyFill="1" applyBorder="1"/>
    <xf numFmtId="166" fontId="3" fillId="14" borderId="0" xfId="1" applyFont="1" applyFill="1" applyBorder="1" applyAlignment="1">
      <alignment horizontal="right"/>
    </xf>
    <xf numFmtId="0" fontId="0" fillId="14" borderId="2" xfId="0" applyFill="1" applyBorder="1"/>
    <xf numFmtId="0" fontId="0" fillId="14" borderId="0" xfId="0" applyFill="1" applyBorder="1"/>
    <xf numFmtId="168" fontId="0" fillId="14" borderId="20" xfId="0" applyNumberFormat="1" applyFill="1" applyBorder="1"/>
    <xf numFmtId="0" fontId="0" fillId="14" borderId="10" xfId="0" applyFill="1" applyBorder="1"/>
    <xf numFmtId="165" fontId="0" fillId="14" borderId="13" xfId="2" applyFont="1" applyFill="1" applyBorder="1"/>
    <xf numFmtId="170" fontId="0" fillId="14" borderId="10" xfId="2" applyNumberFormat="1" applyFont="1" applyFill="1" applyBorder="1"/>
    <xf numFmtId="165" fontId="0" fillId="14" borderId="0" xfId="2" applyFont="1" applyFill="1" applyBorder="1"/>
    <xf numFmtId="0" fontId="0" fillId="0" borderId="15" xfId="0" applyFont="1" applyBorder="1"/>
    <xf numFmtId="0" fontId="0" fillId="0" borderId="0" xfId="0" applyNumberFormat="1" applyBorder="1"/>
    <xf numFmtId="0" fontId="0" fillId="5" borderId="13" xfId="0" applyFill="1" applyBorder="1" applyAlignment="1">
      <alignment vertical="top" wrapText="1"/>
    </xf>
    <xf numFmtId="0" fontId="10" fillId="0" borderId="0" xfId="0" applyFont="1" applyAlignment="1">
      <alignment vertical="center"/>
    </xf>
    <xf numFmtId="0" fontId="0" fillId="7" borderId="11" xfId="0" applyFill="1" applyBorder="1"/>
    <xf numFmtId="0" fontId="6" fillId="9" borderId="15" xfId="4" applyFill="1" applyBorder="1"/>
    <xf numFmtId="0" fontId="5" fillId="9" borderId="12" xfId="0" applyFont="1" applyFill="1" applyBorder="1"/>
    <xf numFmtId="165" fontId="0" fillId="0" borderId="13" xfId="2" applyFont="1" applyFill="1" applyBorder="1" applyAlignment="1">
      <alignment horizontal="right"/>
    </xf>
    <xf numFmtId="168" fontId="0" fillId="0" borderId="13" xfId="0" applyNumberFormat="1" applyFill="1" applyBorder="1"/>
    <xf numFmtId="167" fontId="0" fillId="14" borderId="2" xfId="1" applyNumberFormat="1" applyFont="1" applyFill="1" applyBorder="1"/>
    <xf numFmtId="165" fontId="0" fillId="0" borderId="14" xfId="0" applyNumberFormat="1" applyBorder="1"/>
    <xf numFmtId="165" fontId="0" fillId="0" borderId="9" xfId="0" applyNumberFormat="1" applyBorder="1"/>
    <xf numFmtId="9" fontId="2" fillId="0" borderId="15" xfId="3" applyFont="1" applyBorder="1"/>
    <xf numFmtId="0" fontId="3" fillId="7" borderId="13" xfId="4" applyFont="1" applyFill="1" applyBorder="1"/>
    <xf numFmtId="0" fontId="3" fillId="7" borderId="13" xfId="4" applyFont="1" applyFill="1" applyBorder="1" applyAlignment="1">
      <alignment vertical="center"/>
    </xf>
    <xf numFmtId="0" fontId="8" fillId="6" borderId="5" xfId="0" applyFont="1" applyFill="1" applyBorder="1"/>
    <xf numFmtId="0" fontId="0" fillId="6" borderId="5" xfId="0" applyFill="1" applyBorder="1" applyAlignment="1"/>
    <xf numFmtId="165" fontId="0" fillId="6" borderId="10" xfId="2" applyNumberFormat="1" applyFont="1" applyFill="1" applyBorder="1"/>
    <xf numFmtId="165" fontId="0" fillId="6" borderId="10" xfId="0" applyNumberFormat="1" applyFill="1" applyBorder="1"/>
    <xf numFmtId="0" fontId="5" fillId="6" borderId="12" xfId="0" applyFont="1" applyFill="1" applyBorder="1"/>
    <xf numFmtId="168" fontId="0" fillId="6" borderId="10" xfId="3" applyNumberFormat="1" applyFont="1" applyFill="1" applyBorder="1"/>
    <xf numFmtId="0" fontId="0" fillId="7" borderId="5" xfId="0" applyFill="1" applyBorder="1"/>
    <xf numFmtId="170" fontId="0" fillId="7" borderId="10" xfId="2" applyNumberFormat="1" applyFont="1" applyFill="1" applyBorder="1"/>
    <xf numFmtId="165" fontId="0" fillId="7" borderId="15" xfId="0" applyNumberFormat="1" applyFill="1" applyBorder="1"/>
    <xf numFmtId="0" fontId="0" fillId="9" borderId="5" xfId="0" applyFill="1" applyBorder="1"/>
    <xf numFmtId="165" fontId="0" fillId="9" borderId="7" xfId="0" applyNumberFormat="1" applyFill="1" applyBorder="1"/>
    <xf numFmtId="0" fontId="0" fillId="9" borderId="10" xfId="0" applyFill="1" applyBorder="1"/>
    <xf numFmtId="170" fontId="0" fillId="9" borderId="10" xfId="2" applyNumberFormat="1" applyFont="1" applyFill="1" applyBorder="1"/>
    <xf numFmtId="170" fontId="0" fillId="9" borderId="10" xfId="0" applyNumberFormat="1" applyFill="1" applyBorder="1"/>
    <xf numFmtId="0" fontId="0" fillId="9" borderId="5" xfId="0" applyFill="1" applyBorder="1" applyAlignment="1">
      <alignment vertical="top" wrapText="1"/>
    </xf>
    <xf numFmtId="165" fontId="0" fillId="9" borderId="6" xfId="2" applyFont="1" applyFill="1" applyBorder="1" applyAlignment="1">
      <alignment vertical="top" wrapText="1"/>
    </xf>
    <xf numFmtId="165" fontId="0" fillId="9" borderId="7" xfId="2" applyFont="1" applyFill="1" applyBorder="1" applyAlignment="1">
      <alignment vertical="top" wrapText="1"/>
    </xf>
    <xf numFmtId="0" fontId="0" fillId="14" borderId="12" xfId="0" applyFill="1" applyBorder="1" applyAlignment="1">
      <alignment horizontal="right"/>
    </xf>
    <xf numFmtId="170" fontId="0" fillId="14" borderId="2" xfId="2" applyNumberFormat="1" applyFont="1" applyFill="1" applyBorder="1"/>
    <xf numFmtId="0" fontId="0" fillId="14" borderId="13" xfId="0" applyFill="1" applyBorder="1" applyAlignment="1">
      <alignment horizontal="right"/>
    </xf>
    <xf numFmtId="170" fontId="0" fillId="14" borderId="0" xfId="2" applyNumberFormat="1" applyFont="1" applyFill="1" applyBorder="1"/>
    <xf numFmtId="0" fontId="0" fillId="14" borderId="0" xfId="0" applyFill="1" applyBorder="1" applyAlignment="1">
      <alignment horizontal="right"/>
    </xf>
    <xf numFmtId="0" fontId="0" fillId="14" borderId="10" xfId="0" applyFill="1" applyBorder="1" applyAlignment="1">
      <alignment horizontal="right"/>
    </xf>
    <xf numFmtId="170" fontId="0" fillId="14" borderId="10" xfId="0" applyNumberFormat="1" applyFill="1" applyBorder="1"/>
    <xf numFmtId="10" fontId="0" fillId="14" borderId="10" xfId="0" applyNumberFormat="1" applyFill="1" applyBorder="1"/>
    <xf numFmtId="165" fontId="0" fillId="0" borderId="10" xfId="2" applyFont="1" applyFill="1" applyBorder="1"/>
    <xf numFmtId="0" fontId="3" fillId="0" borderId="10" xfId="0" applyFont="1" applyFill="1" applyBorder="1"/>
    <xf numFmtId="165" fontId="0" fillId="0" borderId="0" xfId="2" applyFont="1" applyFill="1" applyAlignment="1">
      <alignment horizontal="left"/>
    </xf>
    <xf numFmtId="0" fontId="2" fillId="12" borderId="10" xfId="0" applyFont="1" applyFill="1" applyBorder="1"/>
    <xf numFmtId="165" fontId="0" fillId="6" borderId="10" xfId="2" applyFont="1" applyFill="1" applyBorder="1" applyAlignment="1">
      <alignment horizontal="right"/>
    </xf>
    <xf numFmtId="165" fontId="2" fillId="0" borderId="22" xfId="0" applyNumberFormat="1" applyFont="1" applyFill="1" applyBorder="1"/>
    <xf numFmtId="0" fontId="0" fillId="0" borderId="10" xfId="0" applyFill="1" applyBorder="1" applyAlignment="1">
      <alignment horizontal="right"/>
    </xf>
    <xf numFmtId="9" fontId="0" fillId="0" borderId="0" xfId="3" applyFont="1"/>
    <xf numFmtId="0" fontId="2" fillId="12" borderId="10" xfId="0" applyFont="1" applyFill="1" applyBorder="1" applyAlignment="1">
      <alignment horizontal="right"/>
    </xf>
    <xf numFmtId="170" fontId="2" fillId="12" borderId="10" xfId="2" applyNumberFormat="1" applyFont="1" applyFill="1" applyBorder="1"/>
    <xf numFmtId="170" fontId="2" fillId="12" borderId="10" xfId="0" applyNumberFormat="1" applyFont="1" applyFill="1" applyBorder="1"/>
    <xf numFmtId="0" fontId="2" fillId="6" borderId="10" xfId="0" applyFont="1" applyFill="1" applyBorder="1" applyAlignment="1">
      <alignment horizontal="right"/>
    </xf>
    <xf numFmtId="170" fontId="2" fillId="6" borderId="10" xfId="2" applyNumberFormat="1" applyFont="1" applyFill="1" applyBorder="1"/>
    <xf numFmtId="166" fontId="0" fillId="0" borderId="12" xfId="1" applyNumberFormat="1" applyFont="1" applyFill="1" applyBorder="1"/>
    <xf numFmtId="166" fontId="0" fillId="0" borderId="13" xfId="1" applyNumberFormat="1" applyFont="1" applyFill="1" applyBorder="1"/>
    <xf numFmtId="167" fontId="1" fillId="0" borderId="15" xfId="1" applyNumberFormat="1" applyFont="1" applyBorder="1"/>
    <xf numFmtId="167" fontId="2" fillId="0" borderId="10" xfId="1" applyNumberFormat="1" applyFont="1" applyFill="1" applyBorder="1"/>
    <xf numFmtId="165" fontId="0" fillId="14" borderId="12" xfId="2" applyFont="1" applyFill="1" applyBorder="1"/>
    <xf numFmtId="165" fontId="0" fillId="14" borderId="15" xfId="2" applyFont="1" applyFill="1" applyBorder="1"/>
    <xf numFmtId="165" fontId="2" fillId="0" borderId="12" xfId="2" applyFont="1" applyBorder="1" applyAlignment="1">
      <alignment horizontal="right"/>
    </xf>
    <xf numFmtId="0" fontId="0" fillId="14" borderId="5" xfId="0" applyFill="1" applyBorder="1"/>
    <xf numFmtId="165" fontId="0" fillId="0" borderId="13" xfId="2" applyFont="1" applyBorder="1"/>
    <xf numFmtId="165" fontId="0" fillId="0" borderId="15" xfId="2" applyFont="1" applyBorder="1"/>
    <xf numFmtId="0" fontId="11" fillId="5" borderId="0" xfId="0" applyFont="1" applyFill="1" applyAlignment="1">
      <alignment vertical="center"/>
    </xf>
    <xf numFmtId="0" fontId="11" fillId="6" borderId="13" xfId="0" applyFont="1" applyFill="1" applyBorder="1" applyAlignment="1">
      <alignment vertical="center"/>
    </xf>
    <xf numFmtId="167" fontId="2" fillId="6" borderId="12" xfId="1" applyNumberFormat="1" applyFont="1" applyFill="1" applyBorder="1"/>
    <xf numFmtId="170" fontId="0" fillId="0" borderId="7" xfId="2" applyNumberFormat="1" applyFont="1" applyBorder="1"/>
    <xf numFmtId="167" fontId="0" fillId="14" borderId="24" xfId="1" applyNumberFormat="1" applyFont="1" applyFill="1" applyBorder="1"/>
    <xf numFmtId="0" fontId="0" fillId="14" borderId="25" xfId="0" applyFill="1" applyBorder="1"/>
    <xf numFmtId="0" fontId="0" fillId="14" borderId="26" xfId="0" applyFill="1" applyBorder="1"/>
    <xf numFmtId="0" fontId="0" fillId="14" borderId="24" xfId="0" applyFill="1" applyBorder="1"/>
    <xf numFmtId="0" fontId="0" fillId="0" borderId="26" xfId="0" applyBorder="1"/>
    <xf numFmtId="0" fontId="0" fillId="14" borderId="23" xfId="0" applyFill="1" applyBorder="1"/>
    <xf numFmtId="165" fontId="0" fillId="14" borderId="24" xfId="2" applyFont="1" applyFill="1" applyBorder="1"/>
    <xf numFmtId="165" fontId="0" fillId="14" borderId="26" xfId="2" applyFont="1" applyFill="1" applyBorder="1"/>
    <xf numFmtId="167" fontId="0" fillId="14" borderId="23" xfId="1" applyNumberFormat="1" applyFont="1" applyFill="1" applyBorder="1"/>
    <xf numFmtId="170" fontId="0" fillId="14" borderId="23" xfId="2" applyNumberFormat="1" applyFont="1" applyFill="1" applyBorder="1"/>
    <xf numFmtId="165" fontId="0" fillId="14" borderId="23" xfId="2" applyFont="1" applyFill="1" applyBorder="1"/>
    <xf numFmtId="166" fontId="3" fillId="14" borderId="2" xfId="1" applyFont="1" applyFill="1" applyBorder="1" applyAlignment="1">
      <alignment horizontal="right"/>
    </xf>
    <xf numFmtId="167" fontId="3" fillId="14" borderId="0" xfId="1" applyNumberFormat="1" applyFont="1" applyFill="1" applyBorder="1" applyAlignment="1">
      <alignment horizontal="right"/>
    </xf>
    <xf numFmtId="0" fontId="0" fillId="0" borderId="22" xfId="0" applyBorder="1"/>
    <xf numFmtId="0" fontId="0" fillId="0" borderId="22" xfId="0" applyBorder="1" applyAlignment="1"/>
    <xf numFmtId="0" fontId="0" fillId="0" borderId="0" xfId="0" applyBorder="1" applyAlignment="1"/>
    <xf numFmtId="0" fontId="0" fillId="0" borderId="0" xfId="0" applyFont="1" applyAlignment="1">
      <alignment horizontal="left"/>
    </xf>
    <xf numFmtId="0" fontId="0" fillId="0" borderId="40" xfId="0" applyBorder="1"/>
    <xf numFmtId="0" fontId="0" fillId="0" borderId="10" xfId="0" quotePrefix="1" applyFont="1" applyBorder="1" applyAlignment="1">
      <alignment horizontal="right"/>
    </xf>
    <xf numFmtId="0" fontId="2" fillId="6" borderId="10" xfId="0" applyFont="1" applyFill="1" applyBorder="1" applyAlignment="1">
      <alignment horizontal="left"/>
    </xf>
    <xf numFmtId="0" fontId="13" fillId="6" borderId="37" xfId="0" applyFont="1" applyFill="1" applyBorder="1" applyAlignment="1">
      <alignment horizontal="left"/>
    </xf>
    <xf numFmtId="0" fontId="13" fillId="6" borderId="38" xfId="0" applyFont="1" applyFill="1" applyBorder="1" applyAlignment="1">
      <alignment horizontal="left"/>
    </xf>
    <xf numFmtId="0" fontId="13" fillId="6" borderId="39" xfId="0" applyFont="1" applyFill="1" applyBorder="1" applyAlignment="1">
      <alignment horizontal="left"/>
    </xf>
    <xf numFmtId="0" fontId="0" fillId="0" borderId="10" xfId="0" applyBorder="1" applyAlignment="1">
      <alignment horizontal="left" wrapText="1"/>
    </xf>
    <xf numFmtId="0" fontId="0" fillId="0" borderId="0" xfId="0" applyAlignment="1">
      <alignment horizontal="left"/>
    </xf>
    <xf numFmtId="0" fontId="0" fillId="0" borderId="10" xfId="0" applyBorder="1" applyAlignment="1">
      <alignment horizontal="left"/>
    </xf>
    <xf numFmtId="165" fontId="12" fillId="14" borderId="27" xfId="5" applyBorder="1" applyAlignment="1">
      <alignment horizontal="center"/>
    </xf>
    <xf numFmtId="165" fontId="12" fillId="14" borderId="28" xfId="5" applyBorder="1" applyAlignment="1">
      <alignment horizontal="center"/>
    </xf>
    <xf numFmtId="165" fontId="12" fillId="14" borderId="29" xfId="5" applyBorder="1" applyAlignment="1">
      <alignment horizontal="center"/>
    </xf>
    <xf numFmtId="165" fontId="12" fillId="14" borderId="30" xfId="5" applyBorder="1" applyAlignment="1">
      <alignment horizontal="center"/>
    </xf>
    <xf numFmtId="165" fontId="12" fillId="14" borderId="21" xfId="5" applyBorder="1" applyAlignment="1">
      <alignment horizontal="center"/>
    </xf>
    <xf numFmtId="165" fontId="12" fillId="14" borderId="31" xfId="5" applyBorder="1" applyAlignment="1">
      <alignment horizontal="center"/>
    </xf>
    <xf numFmtId="165" fontId="12" fillId="14" borderId="32" xfId="5" applyBorder="1" applyAlignment="1">
      <alignment horizontal="center"/>
    </xf>
    <xf numFmtId="165" fontId="12" fillId="14" borderId="33" xfId="5" applyBorder="1" applyAlignment="1">
      <alignment horizontal="center"/>
    </xf>
    <xf numFmtId="165" fontId="12" fillId="14" borderId="34" xfId="5" applyBorder="1" applyAlignment="1">
      <alignment horizontal="center"/>
    </xf>
    <xf numFmtId="0" fontId="2" fillId="6" borderId="0" xfId="0" applyFont="1" applyFill="1" applyBorder="1" applyAlignment="1">
      <alignment horizontal="center"/>
    </xf>
    <xf numFmtId="1" fontId="2" fillId="6" borderId="10" xfId="1" applyNumberFormat="1" applyFont="1" applyFill="1" applyBorder="1" applyAlignment="1">
      <alignment horizontal="center"/>
    </xf>
    <xf numFmtId="0" fontId="2" fillId="6" borderId="5" xfId="0" applyFont="1" applyFill="1" applyBorder="1" applyAlignment="1">
      <alignment horizontal="center"/>
    </xf>
    <xf numFmtId="0" fontId="2" fillId="6" borderId="6" xfId="0" applyFont="1" applyFill="1" applyBorder="1" applyAlignment="1">
      <alignment horizontal="center"/>
    </xf>
    <xf numFmtId="0" fontId="2" fillId="6" borderId="7" xfId="0" applyFont="1" applyFill="1" applyBorder="1" applyAlignment="1">
      <alignment horizontal="center"/>
    </xf>
    <xf numFmtId="0" fontId="2" fillId="6" borderId="10" xfId="0" applyFont="1" applyFill="1" applyBorder="1" applyAlignment="1">
      <alignment horizontal="center"/>
    </xf>
    <xf numFmtId="0" fontId="0" fillId="3" borderId="5" xfId="0" applyFill="1" applyBorder="1" applyAlignment="1">
      <alignment horizontal="center"/>
    </xf>
    <xf numFmtId="0" fontId="0" fillId="3" borderId="6" xfId="0" applyFill="1" applyBorder="1" applyAlignment="1">
      <alignment horizontal="center"/>
    </xf>
    <xf numFmtId="0" fontId="0" fillId="3" borderId="7" xfId="0" applyFill="1" applyBorder="1" applyAlignment="1">
      <alignment horizontal="center"/>
    </xf>
    <xf numFmtId="0" fontId="2" fillId="6" borderId="12" xfId="0" applyFont="1" applyFill="1" applyBorder="1" applyAlignment="1">
      <alignment horizontal="center"/>
    </xf>
    <xf numFmtId="0" fontId="0" fillId="14" borderId="35" xfId="0" applyFill="1" applyBorder="1" applyAlignment="1">
      <alignment horizontal="center"/>
    </xf>
    <xf numFmtId="0" fontId="0" fillId="14" borderId="36" xfId="0" applyFill="1" applyBorder="1" applyAlignment="1">
      <alignment horizontal="center"/>
    </xf>
    <xf numFmtId="0" fontId="8" fillId="0" borderId="11" xfId="0" applyFont="1" applyFill="1" applyBorder="1" applyAlignment="1">
      <alignment horizontal="center"/>
    </xf>
    <xf numFmtId="0" fontId="8" fillId="0" borderId="14" xfId="0" applyFont="1" applyFill="1" applyBorder="1" applyAlignment="1">
      <alignment horizontal="center"/>
    </xf>
    <xf numFmtId="0" fontId="2" fillId="6" borderId="3" xfId="0" applyFont="1" applyFill="1" applyBorder="1" applyAlignment="1">
      <alignment horizontal="center"/>
    </xf>
    <xf numFmtId="0" fontId="2" fillId="6" borderId="2" xfId="0" applyFont="1" applyFill="1" applyBorder="1" applyAlignment="1">
      <alignment horizontal="center"/>
    </xf>
    <xf numFmtId="0" fontId="2" fillId="6" borderId="4" xfId="0" applyFont="1" applyFill="1" applyBorder="1" applyAlignment="1">
      <alignment horizontal="center"/>
    </xf>
    <xf numFmtId="49" fontId="0" fillId="7" borderId="2" xfId="0" applyNumberFormat="1" applyFill="1" applyBorder="1" applyAlignment="1">
      <alignment horizontal="left" vertical="top" wrapText="1"/>
    </xf>
    <xf numFmtId="49" fontId="0" fillId="7" borderId="4" xfId="0" applyNumberFormat="1" applyFill="1" applyBorder="1" applyAlignment="1">
      <alignment horizontal="left" vertical="top" wrapText="1"/>
    </xf>
    <xf numFmtId="49" fontId="0" fillId="7" borderId="0" xfId="0" applyNumberFormat="1" applyFill="1" applyBorder="1" applyAlignment="1">
      <alignment horizontal="left" vertical="top" wrapText="1"/>
    </xf>
    <xf numFmtId="49" fontId="0" fillId="7" borderId="14" xfId="0" applyNumberFormat="1" applyFill="1" applyBorder="1" applyAlignment="1">
      <alignment horizontal="left" vertical="top" wrapText="1"/>
    </xf>
    <xf numFmtId="49" fontId="0" fillId="7" borderId="1" xfId="0" applyNumberFormat="1" applyFill="1" applyBorder="1" applyAlignment="1">
      <alignment horizontal="left" vertical="top" wrapText="1"/>
    </xf>
    <xf numFmtId="49" fontId="0" fillId="7" borderId="9" xfId="0" applyNumberFormat="1" applyFill="1" applyBorder="1" applyAlignment="1">
      <alignment horizontal="left" vertical="top" wrapText="1"/>
    </xf>
    <xf numFmtId="49" fontId="0" fillId="6" borderId="2" xfId="0" applyNumberFormat="1" applyFill="1" applyBorder="1" applyAlignment="1">
      <alignment horizontal="left" vertical="top" wrapText="1"/>
    </xf>
    <xf numFmtId="49" fontId="0" fillId="6" borderId="4" xfId="0" applyNumberFormat="1" applyFill="1" applyBorder="1" applyAlignment="1">
      <alignment horizontal="left" vertical="top" wrapText="1"/>
    </xf>
    <xf numFmtId="49" fontId="0" fillId="6" borderId="0" xfId="0" applyNumberFormat="1" applyFill="1" applyBorder="1" applyAlignment="1">
      <alignment horizontal="left" vertical="top" wrapText="1"/>
    </xf>
    <xf numFmtId="49" fontId="0" fillId="6" borderId="14" xfId="0" applyNumberFormat="1" applyFill="1" applyBorder="1" applyAlignment="1">
      <alignment horizontal="left" vertical="top" wrapText="1"/>
    </xf>
    <xf numFmtId="49" fontId="0" fillId="6" borderId="1" xfId="0" applyNumberFormat="1" applyFill="1" applyBorder="1" applyAlignment="1">
      <alignment horizontal="left" vertical="top" wrapText="1"/>
    </xf>
    <xf numFmtId="49" fontId="0" fillId="6" borderId="9" xfId="0" applyNumberFormat="1" applyFill="1" applyBorder="1" applyAlignment="1">
      <alignment horizontal="left" vertical="top" wrapText="1"/>
    </xf>
    <xf numFmtId="49" fontId="0" fillId="9" borderId="3" xfId="0" applyNumberFormat="1" applyFill="1" applyBorder="1" applyAlignment="1">
      <alignment horizontal="left" vertical="top" wrapText="1"/>
    </xf>
    <xf numFmtId="49" fontId="0" fillId="9" borderId="2" xfId="0" applyNumberFormat="1" applyFill="1" applyBorder="1" applyAlignment="1">
      <alignment horizontal="left" vertical="top" wrapText="1"/>
    </xf>
    <xf numFmtId="49" fontId="0" fillId="9" borderId="4" xfId="0" applyNumberFormat="1" applyFill="1" applyBorder="1" applyAlignment="1">
      <alignment horizontal="left" vertical="top" wrapText="1"/>
    </xf>
    <xf numFmtId="49" fontId="0" fillId="9" borderId="11" xfId="0" applyNumberFormat="1" applyFill="1" applyBorder="1" applyAlignment="1">
      <alignment horizontal="left" vertical="top" wrapText="1"/>
    </xf>
    <xf numFmtId="49" fontId="0" fillId="9" borderId="0" xfId="0" applyNumberFormat="1" applyFill="1" applyBorder="1" applyAlignment="1">
      <alignment horizontal="left" vertical="top" wrapText="1"/>
    </xf>
    <xf numFmtId="49" fontId="0" fillId="9" borderId="14" xfId="0" applyNumberFormat="1" applyFill="1" applyBorder="1" applyAlignment="1">
      <alignment horizontal="left" vertical="top" wrapText="1"/>
    </xf>
    <xf numFmtId="49" fontId="0" fillId="9" borderId="8" xfId="0" applyNumberFormat="1" applyFill="1" applyBorder="1" applyAlignment="1">
      <alignment horizontal="left" vertical="top" wrapText="1"/>
    </xf>
    <xf numFmtId="49" fontId="0" fillId="9" borderId="1" xfId="0" applyNumberFormat="1" applyFill="1" applyBorder="1" applyAlignment="1">
      <alignment horizontal="left" vertical="top" wrapText="1"/>
    </xf>
    <xf numFmtId="49" fontId="0" fillId="9" borderId="9" xfId="0" applyNumberFormat="1" applyFill="1" applyBorder="1" applyAlignment="1">
      <alignment horizontal="left" vertical="top" wrapText="1"/>
    </xf>
    <xf numFmtId="49" fontId="0" fillId="5" borderId="2" xfId="0" applyNumberFormat="1" applyFill="1" applyBorder="1" applyAlignment="1">
      <alignment horizontal="left" vertical="top" wrapText="1"/>
    </xf>
    <xf numFmtId="49" fontId="0" fillId="5" borderId="4" xfId="0" applyNumberFormat="1" applyFill="1" applyBorder="1" applyAlignment="1">
      <alignment horizontal="left" vertical="top" wrapText="1"/>
    </xf>
    <xf numFmtId="49" fontId="0" fillId="5" borderId="0" xfId="0" applyNumberFormat="1" applyFill="1" applyBorder="1" applyAlignment="1">
      <alignment horizontal="left" vertical="top" wrapText="1"/>
    </xf>
    <xf numFmtId="49" fontId="0" fillId="5" borderId="14" xfId="0" applyNumberFormat="1" applyFill="1" applyBorder="1" applyAlignment="1">
      <alignment horizontal="left" vertical="top" wrapText="1"/>
    </xf>
    <xf numFmtId="49" fontId="0" fillId="5" borderId="1" xfId="0" applyNumberFormat="1" applyFill="1" applyBorder="1" applyAlignment="1">
      <alignment horizontal="left" vertical="top" wrapText="1"/>
    </xf>
    <xf numFmtId="49" fontId="0" fillId="5" borderId="9" xfId="0" applyNumberFormat="1" applyFill="1" applyBorder="1" applyAlignment="1">
      <alignment horizontal="left" vertical="top" wrapText="1"/>
    </xf>
    <xf numFmtId="49" fontId="0" fillId="5" borderId="3" xfId="0" applyNumberFormat="1" applyFill="1" applyBorder="1" applyAlignment="1">
      <alignment horizontal="left" vertical="top" wrapText="1"/>
    </xf>
    <xf numFmtId="49" fontId="0" fillId="5" borderId="11" xfId="0" applyNumberFormat="1" applyFill="1" applyBorder="1" applyAlignment="1">
      <alignment horizontal="left" vertical="top" wrapText="1"/>
    </xf>
    <xf numFmtId="49" fontId="0" fillId="5" borderId="8" xfId="0" applyNumberFormat="1" applyFill="1" applyBorder="1" applyAlignment="1">
      <alignment horizontal="left" vertical="top" wrapText="1"/>
    </xf>
    <xf numFmtId="49" fontId="0" fillId="7" borderId="3" xfId="0" applyNumberFormat="1" applyFill="1" applyBorder="1" applyAlignment="1">
      <alignment horizontal="left" vertical="top" wrapText="1"/>
    </xf>
    <xf numFmtId="49" fontId="0" fillId="7" borderId="11" xfId="0" applyNumberFormat="1" applyFill="1" applyBorder="1" applyAlignment="1">
      <alignment horizontal="left" vertical="top" wrapText="1"/>
    </xf>
    <xf numFmtId="49" fontId="0" fillId="7" borderId="8" xfId="0" applyNumberFormat="1" applyFill="1" applyBorder="1" applyAlignment="1">
      <alignment horizontal="left" vertical="top" wrapText="1"/>
    </xf>
    <xf numFmtId="49" fontId="0" fillId="6" borderId="11" xfId="0" applyNumberFormat="1" applyFill="1" applyBorder="1" applyAlignment="1">
      <alignment horizontal="left" vertical="top" wrapText="1"/>
    </xf>
    <xf numFmtId="49" fontId="0" fillId="6" borderId="8" xfId="0" applyNumberFormat="1" applyFill="1" applyBorder="1" applyAlignment="1">
      <alignment horizontal="left" vertical="top" wrapText="1"/>
    </xf>
    <xf numFmtId="49" fontId="0" fillId="7" borderId="13" xfId="0" applyNumberFormat="1" applyFill="1" applyBorder="1" applyAlignment="1">
      <alignment horizontal="left" vertical="top" wrapText="1"/>
    </xf>
    <xf numFmtId="0" fontId="0" fillId="0" borderId="0" xfId="0" applyAlignment="1">
      <alignment horizontal="left" wrapText="1"/>
    </xf>
    <xf numFmtId="0" fontId="0" fillId="9" borderId="0" xfId="0" applyFill="1" applyBorder="1" applyAlignment="1">
      <alignment horizontal="left" vertical="top" wrapText="1"/>
    </xf>
    <xf numFmtId="0" fontId="0" fillId="9" borderId="14" xfId="0" applyFill="1" applyBorder="1" applyAlignment="1">
      <alignment horizontal="left" vertical="top" wrapText="1"/>
    </xf>
    <xf numFmtId="49" fontId="0" fillId="9" borderId="13" xfId="0" applyNumberFormat="1" applyFill="1" applyBorder="1" applyAlignment="1">
      <alignment horizontal="left" vertical="top" wrapText="1"/>
    </xf>
    <xf numFmtId="0" fontId="0" fillId="9" borderId="11" xfId="0" applyFill="1" applyBorder="1" applyAlignment="1">
      <alignment horizontal="left" vertical="top" wrapText="1"/>
    </xf>
    <xf numFmtId="0" fontId="0" fillId="9" borderId="13" xfId="0" applyFill="1" applyBorder="1" applyAlignment="1">
      <alignment horizontal="left" wrapText="1"/>
    </xf>
    <xf numFmtId="0" fontId="0" fillId="6" borderId="0" xfId="0" applyFill="1" applyBorder="1" applyAlignment="1">
      <alignment horizontal="left" vertical="top" wrapText="1"/>
    </xf>
    <xf numFmtId="0" fontId="0" fillId="6" borderId="14" xfId="0" applyFill="1" applyBorder="1" applyAlignment="1">
      <alignment horizontal="left" vertical="top" wrapText="1"/>
    </xf>
    <xf numFmtId="0" fontId="0" fillId="6" borderId="1" xfId="0" applyFill="1" applyBorder="1" applyAlignment="1">
      <alignment horizontal="left" vertical="top" wrapText="1"/>
    </xf>
    <xf numFmtId="0" fontId="0" fillId="6" borderId="9" xfId="0" applyFill="1" applyBorder="1" applyAlignment="1">
      <alignment horizontal="left" vertical="top" wrapText="1"/>
    </xf>
    <xf numFmtId="49" fontId="0" fillId="6" borderId="3" xfId="0" applyNumberFormat="1" applyFill="1" applyBorder="1" applyAlignment="1">
      <alignment horizontal="left" vertical="top" wrapText="1"/>
    </xf>
    <xf numFmtId="0" fontId="0" fillId="6" borderId="11" xfId="0" applyFill="1" applyBorder="1" applyAlignment="1">
      <alignment horizontal="left" vertical="top" wrapText="1"/>
    </xf>
    <xf numFmtId="0" fontId="0" fillId="6" borderId="8" xfId="0" applyFill="1" applyBorder="1" applyAlignment="1">
      <alignment horizontal="left" vertical="top" wrapText="1"/>
    </xf>
    <xf numFmtId="0" fontId="0" fillId="5" borderId="0" xfId="0" applyFill="1" applyBorder="1" applyAlignment="1">
      <alignment horizontal="left" vertical="top" wrapText="1"/>
    </xf>
    <xf numFmtId="0" fontId="0" fillId="5" borderId="14" xfId="0" applyFill="1" applyBorder="1" applyAlignment="1">
      <alignment horizontal="left" vertical="top" wrapText="1"/>
    </xf>
    <xf numFmtId="0" fontId="0" fillId="5" borderId="11" xfId="0" applyFill="1" applyBorder="1" applyAlignment="1">
      <alignment horizontal="left" vertical="top" wrapText="1"/>
    </xf>
    <xf numFmtId="0" fontId="2" fillId="9" borderId="5" xfId="0" applyFont="1" applyFill="1" applyBorder="1" applyAlignment="1">
      <alignment horizontal="center"/>
    </xf>
    <xf numFmtId="0" fontId="2" fillId="9" borderId="6" xfId="0" applyFont="1" applyFill="1" applyBorder="1" applyAlignment="1">
      <alignment horizontal="center"/>
    </xf>
    <xf numFmtId="0" fontId="0" fillId="5" borderId="1" xfId="0" applyFill="1" applyBorder="1" applyAlignment="1">
      <alignment horizontal="left" vertical="top" wrapText="1"/>
    </xf>
    <xf numFmtId="0" fontId="0" fillId="5" borderId="9" xfId="0" applyFill="1" applyBorder="1" applyAlignment="1">
      <alignment horizontal="left" vertical="top" wrapText="1"/>
    </xf>
    <xf numFmtId="0" fontId="0" fillId="5" borderId="2" xfId="0" applyFill="1" applyBorder="1" applyAlignment="1">
      <alignment horizontal="left" vertical="top" wrapText="1"/>
    </xf>
    <xf numFmtId="0" fontId="0" fillId="5" borderId="4" xfId="0" applyFill="1" applyBorder="1" applyAlignment="1">
      <alignment horizontal="left" vertical="top" wrapText="1"/>
    </xf>
    <xf numFmtId="49" fontId="0" fillId="6" borderId="13" xfId="0" applyNumberFormat="1" applyFill="1" applyBorder="1" applyAlignment="1">
      <alignment vertical="top" wrapText="1"/>
    </xf>
    <xf numFmtId="49" fontId="0" fillId="6" borderId="15" xfId="0" applyNumberFormat="1" applyFill="1" applyBorder="1" applyAlignment="1">
      <alignment vertical="top" wrapText="1"/>
    </xf>
    <xf numFmtId="49" fontId="0" fillId="6" borderId="11" xfId="0" applyNumberFormat="1" applyFill="1" applyBorder="1" applyAlignment="1">
      <alignment vertical="top"/>
    </xf>
    <xf numFmtId="49" fontId="0" fillId="6" borderId="11" xfId="0" applyNumberFormat="1" applyFill="1" applyBorder="1" applyAlignment="1">
      <alignment vertical="top" wrapText="1"/>
    </xf>
    <xf numFmtId="49" fontId="0" fillId="6" borderId="8" xfId="0" applyNumberFormat="1" applyFill="1" applyBorder="1" applyAlignment="1">
      <alignment vertical="top"/>
    </xf>
    <xf numFmtId="49" fontId="0" fillId="6" borderId="8" xfId="0" applyNumberFormat="1" applyFill="1" applyBorder="1" applyAlignment="1">
      <alignment vertical="top" wrapText="1"/>
    </xf>
    <xf numFmtId="165" fontId="0" fillId="6" borderId="13" xfId="2" applyFont="1" applyFill="1" applyBorder="1"/>
    <xf numFmtId="49" fontId="0" fillId="5" borderId="13" xfId="0" applyNumberFormat="1" applyFill="1" applyBorder="1" applyAlignment="1">
      <alignment vertical="top"/>
    </xf>
    <xf numFmtId="49" fontId="0" fillId="5" borderId="15" xfId="0" applyNumberFormat="1" applyFill="1" applyBorder="1" applyAlignment="1">
      <alignment vertical="top" wrapText="1"/>
    </xf>
    <xf numFmtId="170" fontId="0" fillId="5" borderId="12" xfId="0" applyNumberFormat="1" applyFill="1" applyBorder="1"/>
    <xf numFmtId="49" fontId="0" fillId="5" borderId="5" xfId="0" applyNumberFormat="1" applyFill="1" applyBorder="1" applyAlignment="1">
      <alignment vertical="top" wrapText="1"/>
    </xf>
    <xf numFmtId="3" fontId="0" fillId="5" borderId="6" xfId="0" applyNumberFormat="1" applyFont="1" applyFill="1" applyBorder="1"/>
    <xf numFmtId="165" fontId="3" fillId="5" borderId="6" xfId="2" applyFont="1" applyFill="1" applyBorder="1" applyAlignment="1">
      <alignment vertical="center" wrapText="1"/>
    </xf>
    <xf numFmtId="165" fontId="3" fillId="5" borderId="6" xfId="2" applyFont="1" applyFill="1" applyBorder="1"/>
    <xf numFmtId="165" fontId="3" fillId="5" borderId="7" xfId="2" applyFont="1" applyFill="1" applyBorder="1"/>
    <xf numFmtId="0" fontId="0" fillId="5" borderId="3" xfId="0" applyFill="1" applyBorder="1" applyAlignment="1">
      <alignment vertical="top"/>
    </xf>
    <xf numFmtId="0" fontId="0" fillId="5" borderId="8" xfId="0" applyFill="1" applyBorder="1" applyAlignment="1">
      <alignment horizontal="left" vertical="top" wrapText="1"/>
    </xf>
    <xf numFmtId="49" fontId="0" fillId="7" borderId="15" xfId="0" applyNumberFormat="1" applyFill="1" applyBorder="1" applyAlignment="1">
      <alignment vertical="top" wrapText="1"/>
    </xf>
    <xf numFmtId="165" fontId="0" fillId="7" borderId="13" xfId="2" applyFont="1" applyFill="1" applyBorder="1"/>
    <xf numFmtId="165" fontId="0" fillId="7" borderId="12" xfId="0" applyNumberFormat="1" applyFill="1" applyBorder="1"/>
    <xf numFmtId="0" fontId="0" fillId="0" borderId="0" xfId="0" quotePrefix="1" applyAlignment="1">
      <alignment horizontal="left" wrapText="1"/>
    </xf>
  </cellXfs>
  <cellStyles count="6">
    <cellStyle name="Comma" xfId="1" builtinId="3"/>
    <cellStyle name="Currency" xfId="2" builtinId="4"/>
    <cellStyle name="Hyperlink" xfId="4" builtinId="8"/>
    <cellStyle name="Input" xfId="5" builtinId="20" customBuiltin="1"/>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Effecten NIL</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strRef>
              <c:f>'Samenvattende tabel'!$C$2</c:f>
              <c:strCache>
                <c:ptCount val="1"/>
                <c:pt idx="0">
                  <c:v>2019</c:v>
                </c:pt>
              </c:strCache>
            </c:strRef>
          </c:tx>
          <c:spPr>
            <a:solidFill>
              <a:schemeClr val="accent6">
                <a:tint val="77000"/>
              </a:schemeClr>
            </a:solidFill>
            <a:ln>
              <a:noFill/>
            </a:ln>
            <a:effectLst/>
          </c:spPr>
          <c:invertIfNegative val="0"/>
          <c:cat>
            <c:strRef>
              <c:f>'Samenvattende tabel'!$B$3:$B$7</c:f>
              <c:strCache>
                <c:ptCount val="5"/>
                <c:pt idx="0">
                  <c:v>Saldo</c:v>
                </c:pt>
                <c:pt idx="1">
                  <c:v>Resultaat</c:v>
                </c:pt>
                <c:pt idx="2">
                  <c:v>Kostprijs</c:v>
                </c:pt>
                <c:pt idx="3">
                  <c:v>Reserveringscapaciteit</c:v>
                </c:pt>
                <c:pt idx="4">
                  <c:v>Marge</c:v>
                </c:pt>
              </c:strCache>
            </c:strRef>
          </c:cat>
          <c:val>
            <c:numRef>
              <c:f>'Samenvattende tabel'!$C$3:$C$7</c:f>
              <c:numCache>
                <c:formatCode>_ "€"\ * #,##0.00_ ;_ "€"\ * \-#,##0.00_ ;_ "€"\ * "-"??_ ;_ @_ </c:formatCode>
                <c:ptCount val="5"/>
                <c:pt idx="0">
                  <c:v>0</c:v>
                </c:pt>
                <c:pt idx="1">
                  <c:v>0</c:v>
                </c:pt>
                <c:pt idx="2">
                  <c:v>0</c:v>
                </c:pt>
                <c:pt idx="3">
                  <c:v>0</c:v>
                </c:pt>
                <c:pt idx="4">
                  <c:v>0</c:v>
                </c:pt>
              </c:numCache>
            </c:numRef>
          </c:val>
          <c:extLst>
            <c:ext xmlns:c16="http://schemas.microsoft.com/office/drawing/2014/chart" uri="{C3380CC4-5D6E-409C-BE32-E72D297353CC}">
              <c16:uniqueId val="{00000000-2424-4290-A4E1-F0D1FC27D03C}"/>
            </c:ext>
          </c:extLst>
        </c:ser>
        <c:ser>
          <c:idx val="1"/>
          <c:order val="1"/>
          <c:tx>
            <c:strRef>
              <c:f>'Samenvattende tabel'!$D$2</c:f>
              <c:strCache>
                <c:ptCount val="1"/>
                <c:pt idx="0">
                  <c:v>NIL</c:v>
                </c:pt>
              </c:strCache>
            </c:strRef>
          </c:tx>
          <c:spPr>
            <a:solidFill>
              <a:schemeClr val="accent6">
                <a:shade val="76000"/>
              </a:schemeClr>
            </a:solidFill>
            <a:ln>
              <a:noFill/>
            </a:ln>
            <a:effectLst/>
          </c:spPr>
          <c:invertIfNegative val="0"/>
          <c:cat>
            <c:strRef>
              <c:f>'Samenvattende tabel'!$B$3:$B$7</c:f>
              <c:strCache>
                <c:ptCount val="5"/>
                <c:pt idx="0">
                  <c:v>Saldo</c:v>
                </c:pt>
                <c:pt idx="1">
                  <c:v>Resultaat</c:v>
                </c:pt>
                <c:pt idx="2">
                  <c:v>Kostprijs</c:v>
                </c:pt>
                <c:pt idx="3">
                  <c:v>Reserveringscapaciteit</c:v>
                </c:pt>
                <c:pt idx="4">
                  <c:v>Marge</c:v>
                </c:pt>
              </c:strCache>
            </c:strRef>
          </c:cat>
          <c:val>
            <c:numRef>
              <c:f>'Samenvattende tabel'!$D$3:$D$7</c:f>
              <c:numCache>
                <c:formatCode>_ "€"\ * #,##0.00_ ;_ "€"\ * \-#,##0.00_ ;_ "€"\ * "-"??_ ;_ @_ </c:formatCode>
                <c:ptCount val="5"/>
                <c:pt idx="0">
                  <c:v>0</c:v>
                </c:pt>
                <c:pt idx="1">
                  <c:v>0</c:v>
                </c:pt>
                <c:pt idx="2">
                  <c:v>0</c:v>
                </c:pt>
                <c:pt idx="3">
                  <c:v>0</c:v>
                </c:pt>
                <c:pt idx="4">
                  <c:v>0</c:v>
                </c:pt>
              </c:numCache>
            </c:numRef>
          </c:val>
          <c:extLst>
            <c:ext xmlns:c16="http://schemas.microsoft.com/office/drawing/2014/chart" uri="{C3380CC4-5D6E-409C-BE32-E72D297353CC}">
              <c16:uniqueId val="{00000001-2424-4290-A4E1-F0D1FC27D03C}"/>
            </c:ext>
          </c:extLst>
        </c:ser>
        <c:dLbls>
          <c:showLegendKey val="0"/>
          <c:showVal val="0"/>
          <c:showCatName val="0"/>
          <c:showSerName val="0"/>
          <c:showPercent val="0"/>
          <c:showBubbleSize val="0"/>
        </c:dLbls>
        <c:gapWidth val="219"/>
        <c:overlap val="-27"/>
        <c:axId val="915715359"/>
        <c:axId val="915716191"/>
      </c:barChart>
      <c:catAx>
        <c:axId val="91571535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716191"/>
        <c:crosses val="autoZero"/>
        <c:auto val="1"/>
        <c:lblAlgn val="ctr"/>
        <c:lblOffset val="100"/>
        <c:noMultiLvlLbl val="0"/>
      </c:catAx>
      <c:valAx>
        <c:axId val="9157161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sz="1200"/>
                  <a:t>Per 100 kg melk</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_ &quot;€&quot;\ * #,##0.00_ ;_ &quot;€&quot;\ * \-#,##0.00_ ;_ &quot;€&quot;\ * &quot;-&quot;??_ ;_ @_ "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157153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28</xdr:row>
      <xdr:rowOff>95251</xdr:rowOff>
    </xdr:from>
    <xdr:to>
      <xdr:col>2</xdr:col>
      <xdr:colOff>476250</xdr:colOff>
      <xdr:row>34</xdr:row>
      <xdr:rowOff>102735</xdr:rowOff>
    </xdr:to>
    <xdr:pic>
      <xdr:nvPicPr>
        <xdr:cNvPr id="3" name="Picture 2">
          <a:extLst>
            <a:ext uri="{FF2B5EF4-FFF2-40B4-BE49-F238E27FC236}">
              <a16:creationId xmlns:a16="http://schemas.microsoft.com/office/drawing/2014/main" id="{F4B3F445-696D-4F14-9B9E-6690C51568E4}"/>
            </a:ext>
          </a:extLst>
        </xdr:cNvPr>
        <xdr:cNvPicPr>
          <a:picLocks noChangeAspect="1"/>
        </xdr:cNvPicPr>
      </xdr:nvPicPr>
      <xdr:blipFill>
        <a:blip xmlns:r="http://schemas.openxmlformats.org/officeDocument/2006/relationships" r:embed="rId1"/>
        <a:stretch>
          <a:fillRect/>
        </a:stretch>
      </xdr:blipFill>
      <xdr:spPr>
        <a:xfrm>
          <a:off x="0" y="5629276"/>
          <a:ext cx="1695450" cy="1150484"/>
        </a:xfrm>
        <a:prstGeom prst="rect">
          <a:avLst/>
        </a:prstGeom>
      </xdr:spPr>
    </xdr:pic>
    <xdr:clientData/>
  </xdr:twoCellAnchor>
  <xdr:twoCellAnchor editAs="oneCell">
    <xdr:from>
      <xdr:col>0</xdr:col>
      <xdr:colOff>0</xdr:colOff>
      <xdr:row>26</xdr:row>
      <xdr:rowOff>9525</xdr:rowOff>
    </xdr:from>
    <xdr:to>
      <xdr:col>6</xdr:col>
      <xdr:colOff>76200</xdr:colOff>
      <xdr:row>28</xdr:row>
      <xdr:rowOff>95250</xdr:rowOff>
    </xdr:to>
    <xdr:pic>
      <xdr:nvPicPr>
        <xdr:cNvPr id="4" name="Afbeelding 32" descr="Logo - Huisstijl Provincie Noord-Brabant">
          <a:extLst>
            <a:ext uri="{FF2B5EF4-FFF2-40B4-BE49-F238E27FC236}">
              <a16:creationId xmlns:a16="http://schemas.microsoft.com/office/drawing/2014/main" id="{F6A81A66-C09B-457C-B012-31D4267781BA}"/>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162550"/>
          <a:ext cx="3733800" cy="4667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476475</xdr:colOff>
      <xdr:row>0</xdr:row>
      <xdr:rowOff>177948</xdr:rowOff>
    </xdr:from>
    <xdr:to>
      <xdr:col>17</xdr:col>
      <xdr:colOff>268941</xdr:colOff>
      <xdr:row>26</xdr:row>
      <xdr:rowOff>143434</xdr:rowOff>
    </xdr:to>
    <xdr:graphicFrame macro="">
      <xdr:nvGraphicFramePr>
        <xdr:cNvPr id="2" name="Grafiek 1">
          <a:extLst>
            <a:ext uri="{FF2B5EF4-FFF2-40B4-BE49-F238E27FC236}">
              <a16:creationId xmlns:a16="http://schemas.microsoft.com/office/drawing/2014/main" id="{18676C82-E71B-4330-AE17-DAAB92A4F7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eur03.safelinks.protection.outlook.com/?url=https%3A%2F%2Fwww.landschapnoordholland.nl%2Fwaarom-kieviten-van-greppels-houden&amp;data=04%7C01%7C%7C5d00611d6312408f84dc08d91aa53fda%7Ccc9f232a985146b0b23e641d680590df%7C0%7C0%7C637570119303603491%7CUnknown%7CTWFpbGZsb3d8eyJWIjoiMC4wLjAwMDAiLCJQIjoiV2luMzIiLCJBTiI6Ik1haWwiLCJXVCI6Mn0%3D%7C1000&amp;sdata=PqJBxQauBdWgZBbSQjJXd9b%2BN1B8F817PcwSAbugmGQ%3D&amp;reserved=0" TargetMode="External"/><Relationship Id="rId1" Type="http://schemas.openxmlformats.org/officeDocument/2006/relationships/hyperlink" Target="http://www.proeftuinnatura2000.nl/wp-content/uploads/2017/06/Optimaliseren-verhouding-energie-eiwit.pdf" TargetMode="External"/></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agrifirm.nl/nieuws/grasklaver-18-meer-opbrengst-dan-gras/" TargetMode="External"/><Relationship Id="rId1" Type="http://schemas.openxmlformats.org/officeDocument/2006/relationships/hyperlink" Target="https://www.agrifirm.nl/nieuws/grasklaver-18-meer-opbrengst-dan-gra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483C5E-0AE2-423F-A2A1-F86605222338}">
  <sheetPr>
    <tabColor theme="4" tint="0.59999389629810485"/>
  </sheetPr>
  <dimension ref="A1:J36"/>
  <sheetViews>
    <sheetView tabSelected="1" zoomScaleNormal="100" workbookViewId="0">
      <selection activeCell="O13" sqref="O13"/>
    </sheetView>
  </sheetViews>
  <sheetFormatPr defaultRowHeight="15" x14ac:dyDescent="0.25"/>
  <cols>
    <col min="3" max="3" width="9.140625" customWidth="1"/>
  </cols>
  <sheetData>
    <row r="1" spans="1:10" ht="30" customHeight="1" thickBot="1" x14ac:dyDescent="0.45">
      <c r="A1" s="581" t="s">
        <v>478</v>
      </c>
      <c r="B1" s="582"/>
      <c r="C1" s="582"/>
      <c r="D1" s="582"/>
      <c r="E1" s="582"/>
      <c r="F1" s="582"/>
      <c r="G1" s="582"/>
      <c r="H1" s="583"/>
      <c r="I1" s="156"/>
    </row>
    <row r="2" spans="1:10" x14ac:dyDescent="0.25">
      <c r="A2" s="574"/>
      <c r="B2" s="156"/>
      <c r="C2" s="156"/>
      <c r="D2" s="156"/>
      <c r="E2" s="156"/>
      <c r="F2" s="156"/>
      <c r="G2" s="156"/>
      <c r="H2" s="156"/>
      <c r="I2" s="156"/>
    </row>
    <row r="3" spans="1:10" x14ac:dyDescent="0.25">
      <c r="A3" s="574"/>
      <c r="B3" s="156"/>
      <c r="C3" s="156"/>
      <c r="D3" s="156"/>
      <c r="E3" s="156"/>
      <c r="F3" s="156"/>
      <c r="G3" s="156"/>
      <c r="H3" s="156"/>
      <c r="I3" s="156"/>
    </row>
    <row r="4" spans="1:10" x14ac:dyDescent="0.25">
      <c r="A4" s="580" t="s">
        <v>480</v>
      </c>
      <c r="B4" s="580"/>
      <c r="C4" s="580"/>
      <c r="D4" s="580"/>
      <c r="E4" s="580"/>
      <c r="F4" s="580"/>
      <c r="G4" s="580"/>
      <c r="H4" s="156"/>
      <c r="I4" s="156"/>
    </row>
    <row r="5" spans="1:10" ht="15" customHeight="1" x14ac:dyDescent="0.25">
      <c r="A5" s="584" t="s">
        <v>479</v>
      </c>
      <c r="B5" s="584"/>
      <c r="C5" s="584"/>
      <c r="D5" s="584"/>
      <c r="E5" s="584"/>
      <c r="F5" s="584"/>
      <c r="G5" s="584"/>
      <c r="H5" s="156"/>
      <c r="I5" s="156"/>
    </row>
    <row r="6" spans="1:10" ht="15" customHeight="1" x14ac:dyDescent="0.25">
      <c r="A6" s="584"/>
      <c r="B6" s="584"/>
      <c r="C6" s="584"/>
      <c r="D6" s="584"/>
      <c r="E6" s="584"/>
      <c r="F6" s="584"/>
      <c r="G6" s="584"/>
      <c r="H6" s="156"/>
      <c r="I6" s="156"/>
    </row>
    <row r="7" spans="1:10" x14ac:dyDescent="0.25">
      <c r="A7" s="584"/>
      <c r="B7" s="584"/>
      <c r="C7" s="584"/>
      <c r="D7" s="584"/>
      <c r="E7" s="584"/>
      <c r="F7" s="584"/>
      <c r="G7" s="584"/>
      <c r="H7" s="156"/>
      <c r="I7" s="156"/>
    </row>
    <row r="8" spans="1:10" x14ac:dyDescent="0.25">
      <c r="A8" s="584"/>
      <c r="B8" s="584"/>
      <c r="C8" s="584"/>
      <c r="D8" s="584"/>
      <c r="E8" s="584"/>
      <c r="F8" s="584"/>
      <c r="G8" s="584"/>
      <c r="H8" s="156"/>
      <c r="I8" s="156"/>
    </row>
    <row r="9" spans="1:10" x14ac:dyDescent="0.25">
      <c r="A9" s="584"/>
      <c r="B9" s="584"/>
      <c r="C9" s="584"/>
      <c r="D9" s="584"/>
      <c r="E9" s="584"/>
      <c r="F9" s="584"/>
      <c r="G9" s="584"/>
      <c r="H9" s="156"/>
      <c r="I9" s="156"/>
    </row>
    <row r="10" spans="1:10" x14ac:dyDescent="0.25">
      <c r="A10" s="575"/>
      <c r="B10" s="576"/>
      <c r="C10" s="576"/>
      <c r="D10" s="576"/>
      <c r="E10" s="576"/>
      <c r="F10" s="576"/>
      <c r="G10" s="576"/>
      <c r="H10" s="156"/>
      <c r="I10" s="156"/>
    </row>
    <row r="11" spans="1:10" x14ac:dyDescent="0.25">
      <c r="A11" s="578"/>
      <c r="B11" s="1"/>
      <c r="C11" s="1"/>
      <c r="D11" s="1"/>
      <c r="E11" s="1"/>
      <c r="F11" s="1"/>
      <c r="G11" s="1"/>
      <c r="H11" s="1"/>
      <c r="I11" s="1"/>
      <c r="J11" s="1"/>
    </row>
    <row r="14" spans="1:10" x14ac:dyDescent="0.25">
      <c r="A14" s="580" t="s">
        <v>476</v>
      </c>
      <c r="B14" s="580"/>
      <c r="C14" s="580"/>
      <c r="D14" s="580"/>
    </row>
    <row r="15" spans="1:10" x14ac:dyDescent="0.25">
      <c r="A15" s="584" t="s">
        <v>482</v>
      </c>
      <c r="B15" s="584"/>
      <c r="C15" s="584"/>
      <c r="D15" s="584"/>
    </row>
    <row r="16" spans="1:10" x14ac:dyDescent="0.25">
      <c r="A16" s="584"/>
      <c r="B16" s="584"/>
      <c r="C16" s="584"/>
      <c r="D16" s="584"/>
    </row>
    <row r="17" spans="1:10" x14ac:dyDescent="0.25">
      <c r="A17" s="579" t="s">
        <v>470</v>
      </c>
      <c r="B17" s="586" t="s">
        <v>473</v>
      </c>
      <c r="C17" s="586"/>
      <c r="D17" s="586"/>
    </row>
    <row r="18" spans="1:10" x14ac:dyDescent="0.25">
      <c r="A18" s="579" t="s">
        <v>471</v>
      </c>
      <c r="B18" s="586" t="s">
        <v>474</v>
      </c>
      <c r="C18" s="586"/>
      <c r="D18" s="586"/>
    </row>
    <row r="19" spans="1:10" x14ac:dyDescent="0.25">
      <c r="A19" s="579" t="s">
        <v>472</v>
      </c>
      <c r="B19" s="586" t="s">
        <v>475</v>
      </c>
      <c r="C19" s="586"/>
      <c r="D19" s="586"/>
    </row>
    <row r="22" spans="1:10" x14ac:dyDescent="0.25">
      <c r="A22" s="577" t="s">
        <v>477</v>
      </c>
    </row>
    <row r="23" spans="1:10" x14ac:dyDescent="0.25">
      <c r="A23" s="284"/>
    </row>
    <row r="24" spans="1:10" x14ac:dyDescent="0.25">
      <c r="A24" s="1"/>
      <c r="B24" s="1"/>
      <c r="C24" s="1"/>
      <c r="D24" s="1"/>
      <c r="E24" s="1"/>
      <c r="F24" s="1"/>
      <c r="G24" s="1"/>
      <c r="H24" s="1"/>
      <c r="I24" s="1"/>
      <c r="J24" s="1"/>
    </row>
    <row r="26" spans="1:10" x14ac:dyDescent="0.25">
      <c r="A26" s="585" t="s">
        <v>481</v>
      </c>
      <c r="B26" s="585"/>
      <c r="C26" s="585"/>
      <c r="D26" s="585"/>
      <c r="E26" s="585"/>
      <c r="F26" s="585"/>
    </row>
    <row r="36" spans="1:10" x14ac:dyDescent="0.25">
      <c r="A36" s="1"/>
      <c r="B36" s="1"/>
      <c r="C36" s="1"/>
      <c r="D36" s="1"/>
      <c r="E36" s="1"/>
      <c r="F36" s="1"/>
      <c r="G36" s="1"/>
      <c r="H36" s="1"/>
      <c r="I36" s="1"/>
      <c r="J36" s="1"/>
    </row>
  </sheetData>
  <mergeCells count="9">
    <mergeCell ref="A14:D14"/>
    <mergeCell ref="A1:H1"/>
    <mergeCell ref="A5:G9"/>
    <mergeCell ref="A4:G4"/>
    <mergeCell ref="A26:F26"/>
    <mergeCell ref="A15:D16"/>
    <mergeCell ref="B18:D18"/>
    <mergeCell ref="B17:D17"/>
    <mergeCell ref="B19:D19"/>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58444-1007-4C08-8755-E5E7A54E4542}">
  <sheetPr codeName="Blad9">
    <tabColor theme="9" tint="0.59999389629810485"/>
  </sheetPr>
  <dimension ref="A3:E25"/>
  <sheetViews>
    <sheetView topLeftCell="A25" workbookViewId="0">
      <selection activeCell="B18" sqref="B18"/>
    </sheetView>
  </sheetViews>
  <sheetFormatPr defaultRowHeight="15" x14ac:dyDescent="0.25"/>
  <cols>
    <col min="1" max="1" width="44.28515625" bestFit="1" customWidth="1"/>
    <col min="2" max="2" width="16.140625" bestFit="1" customWidth="1"/>
    <col min="3" max="3" width="25.42578125" bestFit="1" customWidth="1"/>
    <col min="4" max="5" width="16.140625" bestFit="1" customWidth="1"/>
  </cols>
  <sheetData>
    <row r="3" spans="1:4" x14ac:dyDescent="0.25">
      <c r="A3" s="22" t="s">
        <v>104</v>
      </c>
      <c r="B3" s="100" t="s">
        <v>8</v>
      </c>
    </row>
    <row r="4" spans="1:4" x14ac:dyDescent="0.25">
      <c r="A4" s="109" t="s">
        <v>105</v>
      </c>
      <c r="B4" s="311" t="e">
        <f>Mest!C3/Bedrijfsgegevens!B17*'Bedrijfsgegevens NIL'!B14</f>
        <v>#DIV/0!</v>
      </c>
      <c r="C4" t="s">
        <v>106</v>
      </c>
    </row>
    <row r="5" spans="1:4" x14ac:dyDescent="0.25">
      <c r="A5" s="27" t="s">
        <v>107</v>
      </c>
      <c r="B5" s="312" t="e">
        <f>Mest!C4/Bedrijfsgegevens!B17*'Bedrijfsgegevens NIL'!B14</f>
        <v>#DIV/0!</v>
      </c>
    </row>
    <row r="7" spans="1:4" x14ac:dyDescent="0.25">
      <c r="A7" s="22" t="s">
        <v>108</v>
      </c>
      <c r="B7" s="100" t="s">
        <v>8</v>
      </c>
    </row>
    <row r="8" spans="1:4" x14ac:dyDescent="0.25">
      <c r="A8" s="176" t="s">
        <v>109</v>
      </c>
      <c r="B8" s="181" t="e">
        <f>B4/Bedrijfsgegevens!$E$11</f>
        <v>#DIV/0!</v>
      </c>
    </row>
    <row r="9" spans="1:4" x14ac:dyDescent="0.25">
      <c r="A9" s="116" t="s">
        <v>110</v>
      </c>
      <c r="B9" s="180" t="e">
        <f>B5/Bedrijfsgegevens!$E$11</f>
        <v>#DIV/0!</v>
      </c>
    </row>
    <row r="11" spans="1:4" x14ac:dyDescent="0.25">
      <c r="A11" s="598" t="s">
        <v>111</v>
      </c>
      <c r="B11" s="599"/>
      <c r="C11" s="599"/>
      <c r="D11" s="600"/>
    </row>
    <row r="12" spans="1:4" x14ac:dyDescent="0.25">
      <c r="A12" s="22" t="s">
        <v>112</v>
      </c>
      <c r="B12" s="82" t="s">
        <v>113</v>
      </c>
      <c r="C12" s="152" t="s">
        <v>114</v>
      </c>
      <c r="D12" s="100" t="s">
        <v>115</v>
      </c>
    </row>
    <row r="13" spans="1:4" x14ac:dyDescent="0.25">
      <c r="A13" s="176" t="s">
        <v>116</v>
      </c>
      <c r="B13" s="473"/>
      <c r="C13" t="e">
        <f>IF('Voer NIL'!$J$16&gt;80%,230,170)</f>
        <v>#DIV/0!</v>
      </c>
      <c r="D13" s="173" t="e">
        <f>B13*C13</f>
        <v>#DIV/0!</v>
      </c>
    </row>
    <row r="14" spans="1:4" x14ac:dyDescent="0.25">
      <c r="A14" s="110" t="s">
        <v>117</v>
      </c>
      <c r="B14" s="474"/>
      <c r="C14" t="e">
        <f>IF('Voer NIL'!$J$16&gt;80%,250,170)</f>
        <v>#DIV/0!</v>
      </c>
      <c r="D14" s="173" t="e">
        <f t="shared" ref="D14:D16" si="0">B14*C14</f>
        <v>#DIV/0!</v>
      </c>
    </row>
    <row r="15" spans="1:4" x14ac:dyDescent="0.25">
      <c r="A15" s="110" t="s">
        <v>118</v>
      </c>
      <c r="B15" s="474"/>
      <c r="C15" t="e">
        <f>IF('Voer NIL'!$J$16&gt;80%,250,170)</f>
        <v>#DIV/0!</v>
      </c>
      <c r="D15" s="173" t="e">
        <f t="shared" si="0"/>
        <v>#DIV/0!</v>
      </c>
    </row>
    <row r="16" spans="1:4" x14ac:dyDescent="0.25">
      <c r="A16" s="116" t="s">
        <v>119</v>
      </c>
      <c r="B16" s="27">
        <f>'Voer NIL'!J7</f>
        <v>0</v>
      </c>
      <c r="C16" s="1">
        <v>0</v>
      </c>
      <c r="D16" s="160">
        <f t="shared" si="0"/>
        <v>0</v>
      </c>
    </row>
    <row r="17" spans="1:5" x14ac:dyDescent="0.25">
      <c r="A17" s="179" t="s">
        <v>120</v>
      </c>
      <c r="B17" s="27"/>
      <c r="C17" s="27"/>
      <c r="D17" s="160" t="e">
        <f>SUM(D13:D16)</f>
        <v>#DIV/0!</v>
      </c>
    </row>
    <row r="18" spans="1:5" x14ac:dyDescent="0.25">
      <c r="A18" s="188" t="s">
        <v>261</v>
      </c>
      <c r="B18" s="156">
        <f>'Bedrijfsgegevens NIL'!B17+'Bedrijfsgegevens NIL'!B18</f>
        <v>0</v>
      </c>
      <c r="C18" s="156"/>
      <c r="D18" s="305"/>
    </row>
    <row r="20" spans="1:5" x14ac:dyDescent="0.25">
      <c r="A20" s="100"/>
      <c r="B20" s="100"/>
      <c r="C20" s="100" t="s">
        <v>254</v>
      </c>
    </row>
    <row r="21" spans="1:5" x14ac:dyDescent="0.25">
      <c r="A21" s="179" t="s">
        <v>123</v>
      </c>
      <c r="B21" s="27"/>
      <c r="C21" s="313" t="e">
        <f>Mest!D20/(Bedrijfsgegevens!B20+Bedrijfsgegevens!B21)*('Bedrijfsgegevens NIL'!B17+'Bedrijfsgegevens NIL'!B18)</f>
        <v>#DIV/0!</v>
      </c>
    </row>
    <row r="23" spans="1:5" x14ac:dyDescent="0.25">
      <c r="A23" s="100" t="s">
        <v>124</v>
      </c>
      <c r="B23" s="152" t="s">
        <v>15</v>
      </c>
      <c r="C23" s="100" t="s">
        <v>125</v>
      </c>
      <c r="D23" s="154" t="s">
        <v>126</v>
      </c>
      <c r="E23" s="100" t="s">
        <v>127</v>
      </c>
    </row>
    <row r="24" spans="1:5" x14ac:dyDescent="0.25">
      <c r="A24" s="170" t="s">
        <v>128</v>
      </c>
      <c r="B24" s="156" t="e">
        <f>B4-D17</f>
        <v>#DIV/0!</v>
      </c>
      <c r="C24" s="110">
        <v>4</v>
      </c>
      <c r="D24" s="551">
        <f>Mest!E23</f>
        <v>12</v>
      </c>
      <c r="E24" s="504" t="e">
        <f>B24/C24*D24</f>
        <v>#DIV/0!</v>
      </c>
    </row>
    <row r="25" spans="1:5" x14ac:dyDescent="0.25">
      <c r="A25" s="27" t="s">
        <v>129</v>
      </c>
      <c r="B25" s="314" t="e">
        <f>B5-C21</f>
        <v>#DIV/0!</v>
      </c>
      <c r="C25" s="116">
        <v>1.5</v>
      </c>
      <c r="D25" s="552">
        <f>Mest!E24</f>
        <v>12</v>
      </c>
      <c r="E25" s="505" t="e">
        <f>IF(B25/C25*D25&lt;0,0,B25/C25*D25)</f>
        <v>#DIV/0!</v>
      </c>
    </row>
  </sheetData>
  <mergeCells count="1">
    <mergeCell ref="A11:D1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45ED4F-43CB-4178-BE9E-EADE8DED0242}">
  <sheetPr codeName="Blad10">
    <tabColor theme="9" tint="0.59999389629810485"/>
  </sheetPr>
  <dimension ref="B2:S54"/>
  <sheetViews>
    <sheetView zoomScaleNormal="100" workbookViewId="0">
      <selection activeCell="E19" sqref="E19"/>
    </sheetView>
  </sheetViews>
  <sheetFormatPr defaultRowHeight="15" x14ac:dyDescent="0.25"/>
  <cols>
    <col min="2" max="2" width="37.7109375" bestFit="1" customWidth="1"/>
    <col min="3" max="4" width="12.42578125" bestFit="1" customWidth="1"/>
    <col min="5" max="5" width="18.140625" customWidth="1"/>
    <col min="6" max="6" width="16.140625" bestFit="1" customWidth="1"/>
    <col min="7" max="7" width="21.7109375" style="6" customWidth="1"/>
    <col min="8" max="8" width="11.28515625" style="6" customWidth="1"/>
    <col min="9" max="9" width="13.7109375" bestFit="1" customWidth="1"/>
    <col min="10" max="11" width="10.42578125" bestFit="1" customWidth="1"/>
    <col min="12" max="12" width="13.7109375" bestFit="1" customWidth="1"/>
    <col min="13" max="13" width="10.28515625" bestFit="1" customWidth="1"/>
    <col min="14" max="14" width="16.140625" bestFit="1" customWidth="1"/>
    <col min="17" max="17" width="27.85546875" bestFit="1" customWidth="1"/>
    <col min="18" max="18" width="19.140625" bestFit="1" customWidth="1"/>
    <col min="19" max="19" width="11.28515625" bestFit="1" customWidth="1"/>
  </cols>
  <sheetData>
    <row r="2" spans="2:19" x14ac:dyDescent="0.25">
      <c r="B2" s="153"/>
      <c r="C2" s="605">
        <f>'Winst en verliesrekening'!B2</f>
        <v>2019</v>
      </c>
      <c r="D2" s="605"/>
      <c r="E2" s="605" t="s">
        <v>262</v>
      </c>
      <c r="F2" s="610"/>
      <c r="G2" s="436"/>
      <c r="H2" s="437"/>
      <c r="I2" s="600">
        <f>'Winst en verliesrekening'!G2</f>
        <v>2019</v>
      </c>
      <c r="J2" s="601"/>
      <c r="K2" s="601"/>
      <c r="L2" s="601" t="s">
        <v>262</v>
      </c>
      <c r="M2" s="601"/>
      <c r="N2" s="601"/>
      <c r="Q2" s="2"/>
      <c r="R2" s="2"/>
      <c r="S2" s="2"/>
    </row>
    <row r="3" spans="2:19" x14ac:dyDescent="0.25">
      <c r="B3" s="598" t="str">
        <f>'Winst en verliesrekening'!A3</f>
        <v>Opbrengsten</v>
      </c>
      <c r="C3" s="599"/>
      <c r="D3" s="599"/>
      <c r="E3" s="599"/>
      <c r="F3" s="600"/>
      <c r="G3" s="608"/>
      <c r="H3" s="609"/>
      <c r="I3" s="100" t="str">
        <f>'Winst en verliesrekening'!G3</f>
        <v>Per 100 kg melk</v>
      </c>
      <c r="J3" s="100" t="str">
        <f>'Winst en verliesrekening'!H3</f>
        <v>Per GVE</v>
      </c>
      <c r="K3" s="100" t="str">
        <f>'Winst en verliesrekening'!I3</f>
        <v>Per ha</v>
      </c>
      <c r="L3" s="100" t="s">
        <v>26</v>
      </c>
      <c r="M3" s="100" t="s">
        <v>27</v>
      </c>
      <c r="N3" s="100" t="s">
        <v>28</v>
      </c>
      <c r="Q3" s="285"/>
      <c r="R3" s="285"/>
      <c r="S3" s="285"/>
    </row>
    <row r="4" spans="2:19" x14ac:dyDescent="0.25">
      <c r="B4" s="110" t="str">
        <f>'Winst en verliesrekening'!A4</f>
        <v>Omzet melk</v>
      </c>
      <c r="C4" s="418">
        <f>'Winst en verliesrekening'!B4</f>
        <v>0</v>
      </c>
      <c r="D4" s="407"/>
      <c r="E4" s="406" t="e">
        <f>(('Bedrijfsgegevens NIL'!B3*'Bedrijfsgegevens NIL'!B10)-Transformatieblad!B31)*'Bedrijfsgegevens NIL'!B11</f>
        <v>#DIV/0!</v>
      </c>
      <c r="F4" s="407"/>
      <c r="G4" s="186"/>
      <c r="H4" s="186"/>
      <c r="I4" s="416" t="e">
        <f>'Winst en verliesrekening'!G4</f>
        <v>#DIV/0!</v>
      </c>
      <c r="J4" s="426" t="e">
        <f>'Winst en verliesrekening'!H4</f>
        <v>#DIV/0!</v>
      </c>
      <c r="K4" s="417" t="e">
        <f>'Winst en verliesrekening'!I4</f>
        <v>#DIV/0!</v>
      </c>
      <c r="L4" s="426" t="e">
        <f>E4/'Bedrijfsgegevens NIL'!$B$14*100</f>
        <v>#DIV/0!</v>
      </c>
      <c r="M4" s="426" t="e">
        <f>E4/'Bedrijfsgegevens NIL'!$E$7</f>
        <v>#DIV/0!</v>
      </c>
      <c r="N4" s="417" t="e">
        <f>E4/'Bedrijfsgegevens NIL'!$B$20</f>
        <v>#DIV/0!</v>
      </c>
    </row>
    <row r="5" spans="2:19" x14ac:dyDescent="0.25">
      <c r="B5" s="110" t="str">
        <f>'Winst en verliesrekening'!A5</f>
        <v>Omzet en aanwas rundvee</v>
      </c>
      <c r="C5" s="418">
        <f>'Winst en verliesrekening'!B5</f>
        <v>0</v>
      </c>
      <c r="D5" s="407"/>
      <c r="E5" s="405" t="e">
        <f>'Winst en verlies NIL'!J5*'Bedrijfsgegevens NIL'!E7</f>
        <v>#DIV/0!</v>
      </c>
      <c r="F5" s="407"/>
      <c r="G5" s="186"/>
      <c r="H5" s="186"/>
      <c r="I5" s="418" t="e">
        <f>'Winst en verliesrekening'!G5</f>
        <v>#DIV/0!</v>
      </c>
      <c r="J5" s="405" t="e">
        <f>'Winst en verliesrekening'!H5</f>
        <v>#DIV/0!</v>
      </c>
      <c r="K5" s="407" t="e">
        <f>'Winst en verliesrekening'!I5</f>
        <v>#DIV/0!</v>
      </c>
      <c r="L5" s="405" t="e">
        <f>E5/'Bedrijfsgegevens NIL'!$B$14*100</f>
        <v>#DIV/0!</v>
      </c>
      <c r="M5" s="405" t="e">
        <f>E5/'Bedrijfsgegevens NIL'!$E$7</f>
        <v>#DIV/0!</v>
      </c>
      <c r="N5" s="407" t="e">
        <f>E5/'Bedrijfsgegevens NIL'!$B$20</f>
        <v>#DIV/0!</v>
      </c>
      <c r="Q5" s="183"/>
      <c r="R5" s="183"/>
      <c r="S5" s="183"/>
    </row>
    <row r="6" spans="2:19" x14ac:dyDescent="0.25">
      <c r="B6" s="110" t="str">
        <f>'Winst en verliesrekening'!A6</f>
        <v>Omzet akkerbouwproducten</v>
      </c>
      <c r="C6" s="418">
        <f>'Winst en verliesrekening'!B6</f>
        <v>0</v>
      </c>
      <c r="D6" s="407"/>
      <c r="E6" s="405" t="e">
        <f>IF('Voer NIL'!E39=Selectievakken!A15,'Voer NIL'!D39+C6,C6)</f>
        <v>#DIV/0!</v>
      </c>
      <c r="F6" s="407"/>
      <c r="G6" s="186"/>
      <c r="H6" s="186"/>
      <c r="I6" s="418" t="e">
        <f>'Winst en verliesrekening'!G6</f>
        <v>#DIV/0!</v>
      </c>
      <c r="J6" s="405" t="e">
        <f>'Winst en verliesrekening'!H6</f>
        <v>#DIV/0!</v>
      </c>
      <c r="K6" s="407" t="e">
        <f>'Winst en verliesrekening'!I6</f>
        <v>#DIV/0!</v>
      </c>
      <c r="L6" s="405" t="e">
        <f>E6/'Bedrijfsgegevens NIL'!$B$14*100</f>
        <v>#DIV/0!</v>
      </c>
      <c r="M6" s="405" t="e">
        <f>E6/'Bedrijfsgegevens NIL'!$E$7</f>
        <v>#DIV/0!</v>
      </c>
      <c r="N6" s="407" t="e">
        <f>E6/'Bedrijfsgegevens NIL'!$B$20</f>
        <v>#DIV/0!</v>
      </c>
      <c r="Q6" s="298"/>
      <c r="R6" s="297"/>
      <c r="S6" s="297"/>
    </row>
    <row r="7" spans="2:19" x14ac:dyDescent="0.25">
      <c r="B7" s="110" t="str">
        <f>'Winst en verliesrekening'!A7</f>
        <v>Overige bedrijfsopbrengsten</v>
      </c>
      <c r="C7" s="418">
        <f>'Winst en verliesrekening'!B7</f>
        <v>0</v>
      </c>
      <c r="D7" s="407"/>
      <c r="E7" s="405">
        <f>C7+Transformatieblad!E32</f>
        <v>0</v>
      </c>
      <c r="F7" s="407"/>
      <c r="G7" s="186"/>
      <c r="H7" s="186"/>
      <c r="I7" s="418" t="e">
        <f>'Winst en verliesrekening'!G7</f>
        <v>#DIV/0!</v>
      </c>
      <c r="J7" s="405" t="e">
        <f>'Winst en verliesrekening'!H7</f>
        <v>#DIV/0!</v>
      </c>
      <c r="K7" s="407" t="e">
        <f>'Winst en verliesrekening'!I7</f>
        <v>#DIV/0!</v>
      </c>
      <c r="L7" s="405" t="e">
        <f>E7/'Bedrijfsgegevens NIL'!$B$14*100</f>
        <v>#DIV/0!</v>
      </c>
      <c r="M7" s="405" t="e">
        <f>E7/'Bedrijfsgegevens NIL'!$E$7</f>
        <v>#DIV/0!</v>
      </c>
      <c r="N7" s="407" t="e">
        <f>E7/'Bedrijfsgegevens NIL'!$B$20</f>
        <v>#DIV/0!</v>
      </c>
    </row>
    <row r="8" spans="2:19" x14ac:dyDescent="0.25">
      <c r="B8" s="116"/>
      <c r="C8" s="419"/>
      <c r="D8" s="415">
        <f>'Winst en verliesrekening'!C8</f>
        <v>0</v>
      </c>
      <c r="E8" s="414"/>
      <c r="F8" s="415" t="e">
        <f>SUM(E4:E7)</f>
        <v>#DIV/0!</v>
      </c>
      <c r="G8" s="186"/>
      <c r="H8" s="186"/>
      <c r="I8" s="418"/>
      <c r="J8" s="405"/>
      <c r="K8" s="407"/>
      <c r="L8" s="405"/>
      <c r="M8" s="405"/>
      <c r="N8" s="407"/>
    </row>
    <row r="9" spans="2:19" x14ac:dyDescent="0.25">
      <c r="B9" s="610" t="str">
        <f>'Winst en verliesrekening'!A9</f>
        <v>Toegerekende kosten</v>
      </c>
      <c r="C9" s="611"/>
      <c r="D9" s="611"/>
      <c r="E9" s="611"/>
      <c r="F9" s="612"/>
      <c r="G9" s="186"/>
      <c r="H9" s="186"/>
      <c r="I9" s="429"/>
      <c r="J9" s="430"/>
      <c r="K9" s="431"/>
      <c r="L9" s="430"/>
      <c r="M9" s="430"/>
      <c r="N9" s="431"/>
    </row>
    <row r="10" spans="2:19" x14ac:dyDescent="0.25">
      <c r="B10" s="110" t="str">
        <f>'Winst en verliesrekening'!A10</f>
        <v>Veevoer rundvee</v>
      </c>
      <c r="C10" s="416"/>
      <c r="D10" s="417"/>
      <c r="E10" s="405"/>
      <c r="F10" s="407"/>
      <c r="G10" s="186"/>
      <c r="H10" s="186"/>
      <c r="I10" s="418"/>
      <c r="J10" s="405"/>
      <c r="K10" s="407"/>
      <c r="L10" s="405"/>
      <c r="M10" s="405"/>
      <c r="N10" s="407"/>
    </row>
    <row r="11" spans="2:19" x14ac:dyDescent="0.25">
      <c r="B11" s="110" t="str">
        <f>'Winst en verliesrekening'!A11</f>
        <v>- Krachtvoer</v>
      </c>
      <c r="C11" s="418">
        <f>'Winst en verliesrekening'!B11</f>
        <v>0</v>
      </c>
      <c r="D11" s="407"/>
      <c r="E11" s="495" t="e">
        <f>'Voer NIL'!B21*'Voer NIL'!C28</f>
        <v>#DIV/0!</v>
      </c>
      <c r="F11" s="407"/>
      <c r="G11" s="186"/>
      <c r="H11" s="186"/>
      <c r="I11" s="418" t="e">
        <f>'Winst en verliesrekening'!G11</f>
        <v>#DIV/0!</v>
      </c>
      <c r="J11" s="405" t="e">
        <f>'Winst en verliesrekening'!H11</f>
        <v>#DIV/0!</v>
      </c>
      <c r="K11" s="407" t="e">
        <f>'Winst en verliesrekening'!I11</f>
        <v>#DIV/0!</v>
      </c>
      <c r="L11" s="405" t="e">
        <f>E11/'Bedrijfsgegevens NIL'!$B$14*100</f>
        <v>#DIV/0!</v>
      </c>
      <c r="M11" s="405" t="e">
        <f>E11/'Bedrijfsgegevens NIL'!$E$7</f>
        <v>#DIV/0!</v>
      </c>
      <c r="N11" s="407" t="e">
        <f>E11/'Bedrijfsgegevens NIL'!$B$20</f>
        <v>#DIV/0!</v>
      </c>
    </row>
    <row r="12" spans="2:19" x14ac:dyDescent="0.25">
      <c r="B12" s="110" t="str">
        <f>'Winst en verliesrekening'!A12</f>
        <v>- Ruwvoer</v>
      </c>
      <c r="C12" s="418">
        <f>'Winst en verliesrekening'!B12</f>
        <v>0</v>
      </c>
      <c r="D12" s="407"/>
      <c r="E12" s="405" t="e">
        <f>(I12*'Bedrijfsgegevens NIL'!B14/100)-'Voer NIL'!G19</f>
        <v>#DIV/0!</v>
      </c>
      <c r="F12" s="407"/>
      <c r="G12" s="186"/>
      <c r="H12" s="186"/>
      <c r="I12" s="418" t="e">
        <f>'Winst en verliesrekening'!G12</f>
        <v>#DIV/0!</v>
      </c>
      <c r="J12" s="405" t="e">
        <f>'Winst en verliesrekening'!H12</f>
        <v>#DIV/0!</v>
      </c>
      <c r="K12" s="407" t="e">
        <f>'Winst en verliesrekening'!I12</f>
        <v>#DIV/0!</v>
      </c>
      <c r="L12" s="405" t="e">
        <f>E12/'Bedrijfsgegevens NIL'!$B$14*100</f>
        <v>#DIV/0!</v>
      </c>
      <c r="M12" s="405" t="e">
        <f>E12/'Bedrijfsgegevens NIL'!$E$7</f>
        <v>#DIV/0!</v>
      </c>
      <c r="N12" s="407" t="e">
        <f>E12/'Bedrijfsgegevens NIL'!$B$20</f>
        <v>#DIV/0!</v>
      </c>
    </row>
    <row r="13" spans="2:19" x14ac:dyDescent="0.25">
      <c r="B13" s="110" t="str">
        <f>'Winst en verliesrekening'!A13</f>
        <v>- Overig voer en voorraadmutatie</v>
      </c>
      <c r="C13" s="418">
        <f>'Winst en verliesrekening'!B13</f>
        <v>0</v>
      </c>
      <c r="D13" s="407"/>
      <c r="E13" s="405" t="e">
        <f>I13*'Bedrijfsgegevens NIL'!B14/100</f>
        <v>#DIV/0!</v>
      </c>
      <c r="F13" s="407"/>
      <c r="G13" s="186"/>
      <c r="H13" s="186"/>
      <c r="I13" s="418" t="e">
        <f>'Winst en verliesrekening'!G13</f>
        <v>#DIV/0!</v>
      </c>
      <c r="J13" s="405" t="e">
        <f>'Winst en verliesrekening'!H13</f>
        <v>#DIV/0!</v>
      </c>
      <c r="K13" s="407" t="e">
        <f>'Winst en verliesrekening'!I13</f>
        <v>#DIV/0!</v>
      </c>
      <c r="L13" s="405" t="e">
        <f>E13/'Bedrijfsgegevens NIL'!$B$14*100</f>
        <v>#DIV/0!</v>
      </c>
      <c r="M13" s="405" t="e">
        <f>E13/'Bedrijfsgegevens NIL'!$E$7</f>
        <v>#DIV/0!</v>
      </c>
      <c r="N13" s="407" t="e">
        <f>E13/'Bedrijfsgegevens NIL'!$B$20</f>
        <v>#DIV/0!</v>
      </c>
    </row>
    <row r="14" spans="2:19" x14ac:dyDescent="0.25">
      <c r="B14" s="110" t="str">
        <f>'Winst en verliesrekening'!A14</f>
        <v>Energie</v>
      </c>
      <c r="C14" s="418">
        <f>'Winst en verliesrekening'!B14</f>
        <v>0</v>
      </c>
      <c r="D14" s="407"/>
      <c r="E14" s="405" t="e">
        <f>I14*'Bedrijfsgegevens NIL'!B14/100</f>
        <v>#DIV/0!</v>
      </c>
      <c r="F14" s="407"/>
      <c r="G14" s="186"/>
      <c r="H14" s="186"/>
      <c r="I14" s="418" t="e">
        <f>'Winst en verliesrekening'!G14</f>
        <v>#DIV/0!</v>
      </c>
      <c r="J14" s="405" t="e">
        <f>'Winst en verliesrekening'!H14</f>
        <v>#DIV/0!</v>
      </c>
      <c r="K14" s="407" t="e">
        <f>'Winst en verliesrekening'!I14</f>
        <v>#DIV/0!</v>
      </c>
      <c r="L14" s="405" t="e">
        <f>E14/'Bedrijfsgegevens NIL'!$B$14*100</f>
        <v>#DIV/0!</v>
      </c>
      <c r="M14" s="405" t="e">
        <f>E14/'Bedrijfsgegevens NIL'!$E$7</f>
        <v>#DIV/0!</v>
      </c>
      <c r="N14" s="407" t="e">
        <f>E14/'Bedrijfsgegevens NIL'!$B$20</f>
        <v>#DIV/0!</v>
      </c>
    </row>
    <row r="15" spans="2:19" x14ac:dyDescent="0.25">
      <c r="B15" s="110" t="str">
        <f>'Winst en verliesrekening'!A15</f>
        <v>Gewasbeschermingsmiddelen</v>
      </c>
      <c r="C15" s="418">
        <f>'Winst en verliesrekening'!B15</f>
        <v>0</v>
      </c>
      <c r="D15" s="407"/>
      <c r="E15" s="405" t="e">
        <f>K15*('Bedrijfsgegevens NIL'!B20-'Voer NIL'!J7-'Voer NIL'!J5+Voer!G20+Voer!G22)</f>
        <v>#DIV/0!</v>
      </c>
      <c r="F15" s="407"/>
      <c r="G15" s="186"/>
      <c r="H15" s="186"/>
      <c r="I15" s="418" t="e">
        <f>'Winst en verliesrekening'!G15</f>
        <v>#DIV/0!</v>
      </c>
      <c r="J15" s="405" t="e">
        <f>'Winst en verliesrekening'!H15</f>
        <v>#DIV/0!</v>
      </c>
      <c r="K15" s="407" t="e">
        <f>'Winst en verliesrekening'!I15</f>
        <v>#DIV/0!</v>
      </c>
      <c r="L15" s="405" t="e">
        <f>E15/'Bedrijfsgegevens NIL'!$B$14*100</f>
        <v>#DIV/0!</v>
      </c>
      <c r="M15" s="405" t="e">
        <f>E15/'Bedrijfsgegevens NIL'!$E$7</f>
        <v>#DIV/0!</v>
      </c>
      <c r="N15" s="407" t="e">
        <f>E15/'Bedrijfsgegevens NIL'!$B$20</f>
        <v>#DIV/0!</v>
      </c>
    </row>
    <row r="16" spans="2:19" x14ac:dyDescent="0.25">
      <c r="B16" s="110" t="str">
        <f>'Winst en verliesrekening'!A16</f>
        <v>Kunstmeststoffen</v>
      </c>
      <c r="C16" s="418">
        <f>'Winst en verliesrekening'!B16</f>
        <v>0</v>
      </c>
      <c r="D16" s="407"/>
      <c r="E16" s="495" t="e">
        <f>K16*('Bedrijfsgegevens NIL'!B20-'Voer NIL'!J7-'Voer NIL'!J5+Voer!G20+Voer!G22)</f>
        <v>#DIV/0!</v>
      </c>
      <c r="F16" s="407"/>
      <c r="G16" s="186"/>
      <c r="H16" s="186"/>
      <c r="I16" s="418" t="e">
        <f>'Winst en verliesrekening'!G16</f>
        <v>#DIV/0!</v>
      </c>
      <c r="J16" s="405" t="e">
        <f>'Winst en verliesrekening'!H16</f>
        <v>#DIV/0!</v>
      </c>
      <c r="K16" s="407" t="e">
        <f>'Winst en verliesrekening'!I16</f>
        <v>#DIV/0!</v>
      </c>
      <c r="L16" s="405" t="e">
        <f>E16/'Bedrijfsgegevens NIL'!$B$14*100</f>
        <v>#DIV/0!</v>
      </c>
      <c r="M16" s="405" t="e">
        <f>E16/'Bedrijfsgegevens NIL'!$E$7</f>
        <v>#DIV/0!</v>
      </c>
      <c r="N16" s="407" t="e">
        <f>E16/'Bedrijfsgegevens NIL'!$B$20</f>
        <v>#DIV/0!</v>
      </c>
    </row>
    <row r="17" spans="2:14" x14ac:dyDescent="0.25">
      <c r="B17" s="110" t="str">
        <f>'Winst en verliesrekening'!A17</f>
        <v>Zaden, plant- en pootgoed</v>
      </c>
      <c r="C17" s="418">
        <f>'Winst en verliesrekening'!B17</f>
        <v>0</v>
      </c>
      <c r="D17" s="407"/>
      <c r="E17" s="405" t="e">
        <f>K17*'Bedrijfsgegevens NIL'!B20</f>
        <v>#DIV/0!</v>
      </c>
      <c r="F17" s="407"/>
      <c r="G17" s="186"/>
      <c r="H17" s="186"/>
      <c r="I17" s="418" t="e">
        <f>'Winst en verliesrekening'!G17</f>
        <v>#DIV/0!</v>
      </c>
      <c r="J17" s="405" t="e">
        <f>'Winst en verliesrekening'!H17</f>
        <v>#DIV/0!</v>
      </c>
      <c r="K17" s="407" t="e">
        <f>'Winst en verliesrekening'!I17</f>
        <v>#DIV/0!</v>
      </c>
      <c r="L17" s="405" t="e">
        <f>E17/'Bedrijfsgegevens NIL'!$B$14*100</f>
        <v>#DIV/0!</v>
      </c>
      <c r="M17" s="405" t="e">
        <f>E17/'Bedrijfsgegevens NIL'!$E$7</f>
        <v>#DIV/0!</v>
      </c>
      <c r="N17" s="407" t="e">
        <f>E17/'Bedrijfsgegevens NIL'!$B$20</f>
        <v>#DIV/0!</v>
      </c>
    </row>
    <row r="18" spans="2:14" x14ac:dyDescent="0.25">
      <c r="B18" s="110" t="str">
        <f>'Winst en verliesrekening'!A18</f>
        <v>Veekosten rundvee</v>
      </c>
      <c r="C18" s="418">
        <f>'Winst en verliesrekening'!B18</f>
        <v>0</v>
      </c>
      <c r="D18" s="407"/>
      <c r="E18" s="405" t="e">
        <f>J18*'Bedrijfsgegevens NIL'!E7</f>
        <v>#DIV/0!</v>
      </c>
      <c r="F18" s="407"/>
      <c r="G18" s="186"/>
      <c r="H18" s="186"/>
      <c r="I18" s="418" t="e">
        <f>'Winst en verliesrekening'!G18</f>
        <v>#DIV/0!</v>
      </c>
      <c r="J18" s="405" t="e">
        <f>'Winst en verliesrekening'!H18</f>
        <v>#DIV/0!</v>
      </c>
      <c r="K18" s="407" t="e">
        <f>'Winst en verliesrekening'!I18</f>
        <v>#DIV/0!</v>
      </c>
      <c r="L18" s="405" t="e">
        <f>E18/'Bedrijfsgegevens NIL'!$B$14*100</f>
        <v>#DIV/0!</v>
      </c>
      <c r="M18" s="405" t="e">
        <f>E18/'Bedrijfsgegevens NIL'!$E$7</f>
        <v>#DIV/0!</v>
      </c>
      <c r="N18" s="407" t="e">
        <f>E18/'Bedrijfsgegevens NIL'!$B$20</f>
        <v>#DIV/0!</v>
      </c>
    </row>
    <row r="19" spans="2:14" x14ac:dyDescent="0.25">
      <c r="B19" s="110" t="str">
        <f>'Winst en verliesrekening'!A19</f>
        <v>Mestkosten</v>
      </c>
      <c r="C19" s="418">
        <f>'Winst en verliesrekening'!B19</f>
        <v>0</v>
      </c>
      <c r="D19" s="407"/>
      <c r="E19" s="405" t="e">
        <f>'Mest NIL'!E24</f>
        <v>#DIV/0!</v>
      </c>
      <c r="F19" s="407"/>
      <c r="G19" s="186"/>
      <c r="H19" s="186"/>
      <c r="I19" s="418" t="e">
        <f>'Winst en verliesrekening'!G19</f>
        <v>#DIV/0!</v>
      </c>
      <c r="J19" s="405" t="e">
        <f>'Winst en verliesrekening'!H19</f>
        <v>#DIV/0!</v>
      </c>
      <c r="K19" s="407" t="e">
        <f>'Winst en verliesrekening'!I19</f>
        <v>#DIV/0!</v>
      </c>
      <c r="L19" s="405" t="e">
        <f>E19/'Bedrijfsgegevens NIL'!$B$14*100</f>
        <v>#DIV/0!</v>
      </c>
      <c r="M19" s="405" t="e">
        <f>E19/'Bedrijfsgegevens NIL'!$E$7</f>
        <v>#DIV/0!</v>
      </c>
      <c r="N19" s="407" t="e">
        <f>E19/'Bedrijfsgegevens NIL'!$B$20</f>
        <v>#DIV/0!</v>
      </c>
    </row>
    <row r="20" spans="2:14" x14ac:dyDescent="0.25">
      <c r="B20" s="110"/>
      <c r="C20" s="418"/>
      <c r="D20" s="409">
        <f>'Winst en verliesrekening'!C20</f>
        <v>0</v>
      </c>
      <c r="E20" s="405"/>
      <c r="F20" s="409" t="e">
        <f>SUM(E11:E19)</f>
        <v>#DIV/0!</v>
      </c>
      <c r="G20" s="186"/>
      <c r="H20" s="186"/>
      <c r="I20" s="418"/>
      <c r="J20" s="405"/>
      <c r="K20" s="407"/>
      <c r="L20" s="405"/>
      <c r="M20" s="405"/>
      <c r="N20" s="407"/>
    </row>
    <row r="21" spans="2:14" x14ac:dyDescent="0.25">
      <c r="B21" s="410" t="str">
        <f>'Winst en verliesrekening'!A21</f>
        <v>Saldo</v>
      </c>
      <c r="C21" s="420">
        <f>'Winst en verliesrekening'!B21</f>
        <v>0</v>
      </c>
      <c r="D21" s="421"/>
      <c r="E21" s="411" t="e">
        <f>F8-F20</f>
        <v>#DIV/0!</v>
      </c>
      <c r="F21" s="412"/>
      <c r="G21" s="186"/>
      <c r="H21" s="186"/>
      <c r="I21" s="427" t="e">
        <f>'Winst en verliesrekening'!G21</f>
        <v>#DIV/0!</v>
      </c>
      <c r="J21" s="114" t="e">
        <f>'Winst en verliesrekening'!H21</f>
        <v>#DIV/0!</v>
      </c>
      <c r="K21" s="412" t="e">
        <f>'Winst en verliesrekening'!I21</f>
        <v>#DIV/0!</v>
      </c>
      <c r="L21" s="114" t="e">
        <f>E21/'Bedrijfsgegevens NIL'!$B$14*100</f>
        <v>#DIV/0!</v>
      </c>
      <c r="M21" s="114" t="e">
        <f>E21/'Bedrijfsgegevens NIL'!$E$7</f>
        <v>#DIV/0!</v>
      </c>
      <c r="N21" s="412" t="e">
        <f>E21/'Bedrijfsgegevens NIL'!$B$20</f>
        <v>#DIV/0!</v>
      </c>
    </row>
    <row r="22" spans="2:14" x14ac:dyDescent="0.25">
      <c r="B22" s="598" t="str">
        <f>'Winst en verliesrekening'!A22</f>
        <v>Niet toegerekende kosten</v>
      </c>
      <c r="C22" s="599"/>
      <c r="D22" s="599"/>
      <c r="E22" s="599"/>
      <c r="F22" s="600"/>
      <c r="G22" s="186"/>
      <c r="H22" s="186"/>
      <c r="I22" s="429"/>
      <c r="J22" s="430"/>
      <c r="K22" s="431"/>
      <c r="L22" s="430"/>
      <c r="M22" s="430"/>
      <c r="N22" s="431"/>
    </row>
    <row r="23" spans="2:14" x14ac:dyDescent="0.25">
      <c r="B23" s="110" t="str">
        <f>'Winst en verliesrekening'!A23</f>
        <v>Loonwerk</v>
      </c>
      <c r="C23" s="416">
        <f>'Winst en verliesrekening'!B23</f>
        <v>0</v>
      </c>
      <c r="D23" s="417"/>
      <c r="E23" s="405" t="e">
        <f>K23*'Bedrijfsgegevens NIL'!B20</f>
        <v>#DIV/0!</v>
      </c>
      <c r="F23" s="407"/>
      <c r="G23" s="186"/>
      <c r="H23" s="186"/>
      <c r="I23" s="418" t="e">
        <f>'Winst en verliesrekening'!G23</f>
        <v>#DIV/0!</v>
      </c>
      <c r="J23" s="405" t="e">
        <f>'Winst en verliesrekening'!H23</f>
        <v>#DIV/0!</v>
      </c>
      <c r="K23" s="407" t="e">
        <f>'Winst en verliesrekening'!I23</f>
        <v>#DIV/0!</v>
      </c>
      <c r="L23" s="405" t="e">
        <f>E23/'Bedrijfsgegevens NIL'!$B$14*100</f>
        <v>#DIV/0!</v>
      </c>
      <c r="M23" s="405" t="e">
        <f>E23/'Bedrijfsgegevens NIL'!$E$7</f>
        <v>#DIV/0!</v>
      </c>
      <c r="N23" s="407" t="e">
        <f>E23/'Bedrijfsgegevens NIL'!$B$20</f>
        <v>#DIV/0!</v>
      </c>
    </row>
    <row r="24" spans="2:14" x14ac:dyDescent="0.25">
      <c r="B24" s="110" t="str">
        <f>'Winst en verliesrekening'!A24</f>
        <v>Lonen en salarissen</v>
      </c>
      <c r="C24" s="418">
        <f>'Winst en verliesrekening'!B24</f>
        <v>0</v>
      </c>
      <c r="D24" s="407"/>
      <c r="E24" s="405">
        <f>C24</f>
        <v>0</v>
      </c>
      <c r="F24" s="407"/>
      <c r="G24" s="186"/>
      <c r="H24" s="186"/>
      <c r="I24" s="418" t="e">
        <f>'Winst en verliesrekening'!G24</f>
        <v>#DIV/0!</v>
      </c>
      <c r="J24" s="405" t="e">
        <f>'Winst en verliesrekening'!H24</f>
        <v>#DIV/0!</v>
      </c>
      <c r="K24" s="407" t="e">
        <f>'Winst en verliesrekening'!I24</f>
        <v>#DIV/0!</v>
      </c>
      <c r="L24" s="405" t="e">
        <f>E24/'Bedrijfsgegevens NIL'!$B$14*100</f>
        <v>#DIV/0!</v>
      </c>
      <c r="M24" s="405" t="e">
        <f>E24/'Bedrijfsgegevens NIL'!$E$7</f>
        <v>#DIV/0!</v>
      </c>
      <c r="N24" s="407" t="e">
        <f>E24/'Bedrijfsgegevens NIL'!$B$20</f>
        <v>#DIV/0!</v>
      </c>
    </row>
    <row r="25" spans="2:14" x14ac:dyDescent="0.25">
      <c r="B25" s="110" t="str">
        <f>'Winst en verliesrekening'!A25</f>
        <v>Sociale lasten</v>
      </c>
      <c r="C25" s="418">
        <f>'Winst en verliesrekening'!B25</f>
        <v>0</v>
      </c>
      <c r="D25" s="407"/>
      <c r="E25" s="405">
        <f>C25</f>
        <v>0</v>
      </c>
      <c r="F25" s="407"/>
      <c r="G25" s="186"/>
      <c r="H25" s="186"/>
      <c r="I25" s="418" t="e">
        <f>'Winst en verliesrekening'!G25</f>
        <v>#DIV/0!</v>
      </c>
      <c r="J25" s="405" t="e">
        <f>'Winst en verliesrekening'!H25</f>
        <v>#DIV/0!</v>
      </c>
      <c r="K25" s="407" t="e">
        <f>'Winst en verliesrekening'!I25</f>
        <v>#DIV/0!</v>
      </c>
      <c r="L25" s="405" t="e">
        <f>E25/'Bedrijfsgegevens NIL'!$B$14*100</f>
        <v>#DIV/0!</v>
      </c>
      <c r="M25" s="405" t="e">
        <f>E25/'Bedrijfsgegevens NIL'!$E$7</f>
        <v>#DIV/0!</v>
      </c>
      <c r="N25" s="407" t="e">
        <f>E25/'Bedrijfsgegevens NIL'!$B$20</f>
        <v>#DIV/0!</v>
      </c>
    </row>
    <row r="26" spans="2:14" x14ac:dyDescent="0.25">
      <c r="B26" s="110" t="str">
        <f>'Winst en verliesrekening'!A26</f>
        <v>Afschrijving vaste activa</v>
      </c>
      <c r="C26" s="418">
        <f>'Winst en verliesrekening'!B26</f>
        <v>0</v>
      </c>
      <c r="D26" s="407"/>
      <c r="E26" s="405">
        <f>C26+(Transformatieblad!D42/20)</f>
        <v>0</v>
      </c>
      <c r="F26" s="407"/>
      <c r="G26" s="186"/>
      <c r="H26" s="186"/>
      <c r="I26" s="418" t="e">
        <f>'Winst en verliesrekening'!G26</f>
        <v>#DIV/0!</v>
      </c>
      <c r="J26" s="405" t="e">
        <f>'Winst en verliesrekening'!H26</f>
        <v>#DIV/0!</v>
      </c>
      <c r="K26" s="407" t="e">
        <f>'Winst en verliesrekening'!I26</f>
        <v>#DIV/0!</v>
      </c>
      <c r="L26" s="405" t="e">
        <f>E26/'Bedrijfsgegevens NIL'!$B$14*100</f>
        <v>#DIV/0!</v>
      </c>
      <c r="M26" s="405" t="e">
        <f>E26/'Bedrijfsgegevens NIL'!$E$7</f>
        <v>#DIV/0!</v>
      </c>
      <c r="N26" s="407" t="e">
        <f>E26/'Bedrijfsgegevens NIL'!$B$20</f>
        <v>#DIV/0!</v>
      </c>
    </row>
    <row r="27" spans="2:14" x14ac:dyDescent="0.25">
      <c r="B27" s="110" t="str">
        <f>'Winst en verliesrekening'!A27</f>
        <v>Huisvestingskosten</v>
      </c>
      <c r="C27" s="418">
        <f>'Winst en verliesrekening'!B27</f>
        <v>0</v>
      </c>
      <c r="D27" s="407"/>
      <c r="E27" s="405">
        <f>C27</f>
        <v>0</v>
      </c>
      <c r="F27" s="407"/>
      <c r="G27" s="186"/>
      <c r="H27" s="186"/>
      <c r="I27" s="418" t="e">
        <f>'Winst en verliesrekening'!G27</f>
        <v>#DIV/0!</v>
      </c>
      <c r="J27" s="405" t="e">
        <f>'Winst en verliesrekening'!H27</f>
        <v>#DIV/0!</v>
      </c>
      <c r="K27" s="407" t="e">
        <f>'Winst en verliesrekening'!I27</f>
        <v>#DIV/0!</v>
      </c>
      <c r="L27" s="405" t="e">
        <f>E27/'Bedrijfsgegevens NIL'!$B$14*100</f>
        <v>#DIV/0!</v>
      </c>
      <c r="M27" s="405" t="e">
        <f>E27/'Bedrijfsgegevens NIL'!$E$7</f>
        <v>#DIV/0!</v>
      </c>
      <c r="N27" s="407" t="e">
        <f>E27/'Bedrijfsgegevens NIL'!$B$20</f>
        <v>#DIV/0!</v>
      </c>
    </row>
    <row r="28" spans="2:14" x14ac:dyDescent="0.25">
      <c r="B28" s="110" t="str">
        <f>'Winst en verliesrekening'!A28</f>
        <v>Huren/pachten</v>
      </c>
      <c r="C28" s="418">
        <f>'Winst en verliesrekening'!B28</f>
        <v>0</v>
      </c>
      <c r="D28" s="407"/>
      <c r="E28" s="405">
        <f>C28+Transformatieblad!D16</f>
        <v>0</v>
      </c>
      <c r="F28" s="407"/>
      <c r="G28" s="186"/>
      <c r="H28" s="186"/>
      <c r="I28" s="418" t="e">
        <f>'Winst en verliesrekening'!G28</f>
        <v>#DIV/0!</v>
      </c>
      <c r="J28" s="405" t="e">
        <f>'Winst en verliesrekening'!H28</f>
        <v>#DIV/0!</v>
      </c>
      <c r="K28" s="407" t="e">
        <f>'Winst en verliesrekening'!I28</f>
        <v>#DIV/0!</v>
      </c>
      <c r="L28" s="405" t="e">
        <f>E28/'Bedrijfsgegevens NIL'!$B$14*100</f>
        <v>#DIV/0!</v>
      </c>
      <c r="M28" s="405" t="e">
        <f>E28/'Bedrijfsgegevens NIL'!$E$7</f>
        <v>#DIV/0!</v>
      </c>
      <c r="N28" s="407" t="e">
        <f>E28/'Bedrijfsgegevens NIL'!$B$20</f>
        <v>#DIV/0!</v>
      </c>
    </row>
    <row r="29" spans="2:14" x14ac:dyDescent="0.25">
      <c r="B29" s="110" t="str">
        <f>'Winst en verliesrekening'!A29</f>
        <v>Leasekosten productierechten</v>
      </c>
      <c r="C29" s="418">
        <f>'Winst en verliesrekening'!B29</f>
        <v>0</v>
      </c>
      <c r="D29" s="407"/>
      <c r="E29" s="405">
        <v>0</v>
      </c>
      <c r="F29" s="407"/>
      <c r="G29" s="186"/>
      <c r="H29" s="186"/>
      <c r="I29" s="418" t="e">
        <f>'Winst en verliesrekening'!G29</f>
        <v>#DIV/0!</v>
      </c>
      <c r="J29" s="405" t="e">
        <f>'Winst en verliesrekening'!H29</f>
        <v>#DIV/0!</v>
      </c>
      <c r="K29" s="407" t="e">
        <f>'Winst en verliesrekening'!I29</f>
        <v>#DIV/0!</v>
      </c>
      <c r="L29" s="405" t="e">
        <f>E29/'Bedrijfsgegevens NIL'!$B$14*100</f>
        <v>#DIV/0!</v>
      </c>
      <c r="M29" s="405" t="e">
        <f>E29/'Bedrijfsgegevens NIL'!$E$7</f>
        <v>#DIV/0!</v>
      </c>
      <c r="N29" s="407" t="e">
        <f>E29/'Bedrijfsgegevens NIL'!$B$20</f>
        <v>#DIV/0!</v>
      </c>
    </row>
    <row r="30" spans="2:14" x14ac:dyDescent="0.25">
      <c r="B30" s="110" t="str">
        <f>'Winst en verliesrekening'!A30</f>
        <v>Inventaris- en machinekosten</v>
      </c>
      <c r="C30" s="418">
        <f>'Winst en verliesrekening'!B30</f>
        <v>0</v>
      </c>
      <c r="D30" s="407"/>
      <c r="E30" s="405">
        <f>C30</f>
        <v>0</v>
      </c>
      <c r="F30" s="407"/>
      <c r="G30" s="186"/>
      <c r="H30" s="186"/>
      <c r="I30" s="418" t="e">
        <f>'Winst en verliesrekening'!G30</f>
        <v>#DIV/0!</v>
      </c>
      <c r="J30" s="405" t="e">
        <f>'Winst en verliesrekening'!H30</f>
        <v>#DIV/0!</v>
      </c>
      <c r="K30" s="407" t="e">
        <f>'Winst en verliesrekening'!I30</f>
        <v>#DIV/0!</v>
      </c>
      <c r="L30" s="405" t="e">
        <f>E30/'Bedrijfsgegevens NIL'!$B$14*100</f>
        <v>#DIV/0!</v>
      </c>
      <c r="M30" s="405" t="e">
        <f>E30/'Bedrijfsgegevens NIL'!$E$7</f>
        <v>#DIV/0!</v>
      </c>
      <c r="N30" s="407" t="e">
        <f>E30/'Bedrijfsgegevens NIL'!$B$20</f>
        <v>#DIV/0!</v>
      </c>
    </row>
    <row r="31" spans="2:14" x14ac:dyDescent="0.25">
      <c r="B31" s="110" t="str">
        <f>'Winst en verliesrekening'!A31</f>
        <v>Kosten vervoermiddelen</v>
      </c>
      <c r="C31" s="418">
        <f>'Winst en verliesrekening'!B31</f>
        <v>0</v>
      </c>
      <c r="D31" s="407"/>
      <c r="E31" s="405">
        <f t="shared" ref="E31:E33" si="0">C31</f>
        <v>0</v>
      </c>
      <c r="F31" s="407"/>
      <c r="G31" s="186"/>
      <c r="H31" s="186"/>
      <c r="I31" s="418" t="e">
        <f>'Winst en verliesrekening'!G31</f>
        <v>#DIV/0!</v>
      </c>
      <c r="J31" s="405" t="e">
        <f>'Winst en verliesrekening'!H31</f>
        <v>#DIV/0!</v>
      </c>
      <c r="K31" s="407" t="e">
        <f>'Winst en verliesrekening'!I31</f>
        <v>#DIV/0!</v>
      </c>
      <c r="L31" s="405" t="e">
        <f>E31/'Bedrijfsgegevens NIL'!$B$14*100</f>
        <v>#DIV/0!</v>
      </c>
      <c r="M31" s="405" t="e">
        <f>E31/'Bedrijfsgegevens NIL'!$E$7</f>
        <v>#DIV/0!</v>
      </c>
      <c r="N31" s="407" t="e">
        <f>E31/'Bedrijfsgegevens NIL'!$B$20</f>
        <v>#DIV/0!</v>
      </c>
    </row>
    <row r="32" spans="2:14" x14ac:dyDescent="0.25">
      <c r="B32" s="110" t="str">
        <f>'Winst en verliesrekening'!A32</f>
        <v>Algemene kosten</v>
      </c>
      <c r="C32" s="418">
        <f>'Winst en verliesrekening'!B32</f>
        <v>0</v>
      </c>
      <c r="D32" s="407"/>
      <c r="E32" s="405">
        <f t="shared" si="0"/>
        <v>0</v>
      </c>
      <c r="F32" s="407"/>
      <c r="G32" s="186"/>
      <c r="H32" s="186"/>
      <c r="I32" s="418" t="e">
        <f>'Winst en verliesrekening'!G32</f>
        <v>#DIV/0!</v>
      </c>
      <c r="J32" s="405" t="e">
        <f>'Winst en verliesrekening'!H32</f>
        <v>#DIV/0!</v>
      </c>
      <c r="K32" s="407" t="e">
        <f>'Winst en verliesrekening'!I32</f>
        <v>#DIV/0!</v>
      </c>
      <c r="L32" s="405" t="e">
        <f>E32/'Bedrijfsgegevens NIL'!$B$14*100</f>
        <v>#DIV/0!</v>
      </c>
      <c r="M32" s="405" t="e">
        <f>E32/'Bedrijfsgegevens NIL'!$E$7</f>
        <v>#DIV/0!</v>
      </c>
      <c r="N32" s="407" t="e">
        <f>E32/'Bedrijfsgegevens NIL'!$B$20</f>
        <v>#DIV/0!</v>
      </c>
    </row>
    <row r="33" spans="2:14" x14ac:dyDescent="0.25">
      <c r="B33" s="110" t="str">
        <f>'Winst en verliesrekening'!A33</f>
        <v>Huisvestingskosten</v>
      </c>
      <c r="C33" s="418">
        <f>'Winst en verliesrekening'!B33</f>
        <v>0</v>
      </c>
      <c r="D33" s="407"/>
      <c r="E33" s="405">
        <f t="shared" si="0"/>
        <v>0</v>
      </c>
      <c r="F33" s="407"/>
      <c r="G33" s="186"/>
      <c r="H33" s="186"/>
      <c r="I33" s="418" t="e">
        <f>'Winst en verliesrekening'!G33</f>
        <v>#DIV/0!</v>
      </c>
      <c r="J33" s="405" t="e">
        <f>'Winst en verliesrekening'!H33</f>
        <v>#DIV/0!</v>
      </c>
      <c r="K33" s="407" t="e">
        <f>'Winst en verliesrekening'!I33</f>
        <v>#DIV/0!</v>
      </c>
      <c r="L33" s="405" t="e">
        <f>E33/'Bedrijfsgegevens NIL'!$B$14*100</f>
        <v>#DIV/0!</v>
      </c>
      <c r="M33" s="405" t="e">
        <f>E33/'Bedrijfsgegevens NIL'!$E$7</f>
        <v>#DIV/0!</v>
      </c>
      <c r="N33" s="407" t="e">
        <f>E33/'Bedrijfsgegevens NIL'!$B$20</f>
        <v>#DIV/0!</v>
      </c>
    </row>
    <row r="34" spans="2:14" x14ac:dyDescent="0.25">
      <c r="B34" s="110"/>
      <c r="C34" s="418"/>
      <c r="D34" s="409">
        <f>'Winst en verliesrekening'!C34</f>
        <v>0</v>
      </c>
      <c r="E34" s="405"/>
      <c r="F34" s="409" t="e">
        <f>SUM(E23:E33)</f>
        <v>#DIV/0!</v>
      </c>
      <c r="G34" s="186"/>
      <c r="H34" s="186"/>
      <c r="I34" s="418"/>
      <c r="J34" s="405"/>
      <c r="K34" s="407"/>
      <c r="L34" s="405"/>
      <c r="M34" s="405"/>
      <c r="N34" s="407"/>
    </row>
    <row r="35" spans="2:14" x14ac:dyDescent="0.25">
      <c r="B35" s="110" t="str">
        <f>'Winst en verliesrekening'!A35</f>
        <v>Bedrijfsresultaat</v>
      </c>
      <c r="C35" s="422">
        <f>'Winst en verliesrekening'!B35</f>
        <v>0</v>
      </c>
      <c r="D35" s="423"/>
      <c r="E35" s="408" t="e">
        <f>F8-F20-F34</f>
        <v>#DIV/0!</v>
      </c>
      <c r="F35" s="112"/>
      <c r="I35" s="418" t="e">
        <f>'Winst en verliesrekening'!G35</f>
        <v>#DIV/0!</v>
      </c>
      <c r="J35" s="405" t="e">
        <f>'Winst en verliesrekening'!H35</f>
        <v>#DIV/0!</v>
      </c>
      <c r="K35" s="407" t="e">
        <f>'Winst en verliesrekening'!I35</f>
        <v>#DIV/0!</v>
      </c>
      <c r="L35" s="405" t="e">
        <f>E35/'Bedrijfsgegevens NIL'!$B$14*100</f>
        <v>#DIV/0!</v>
      </c>
      <c r="M35" s="405" t="e">
        <f>E35/'Bedrijfsgegevens NIL'!$E$7</f>
        <v>#DIV/0!</v>
      </c>
      <c r="N35" s="407" t="e">
        <f>E35/'Bedrijfsgegevens NIL'!$B$20</f>
        <v>#DIV/0!</v>
      </c>
    </row>
    <row r="36" spans="2:14" x14ac:dyDescent="0.25">
      <c r="B36" s="598" t="str">
        <f>'Winst en verliesrekening'!A36</f>
        <v>Financiële baten en lasten</v>
      </c>
      <c r="C36" s="599"/>
      <c r="D36" s="599"/>
      <c r="E36" s="599"/>
      <c r="F36" s="600"/>
      <c r="I36" s="429"/>
      <c r="J36" s="430"/>
      <c r="K36" s="431"/>
      <c r="L36" s="430"/>
      <c r="M36" s="430"/>
      <c r="N36" s="431"/>
    </row>
    <row r="37" spans="2:14" x14ac:dyDescent="0.25">
      <c r="B37" s="110" t="str">
        <f>'Winst en verliesrekening'!A37</f>
        <v>Opbrengsten van financiële vaste activa</v>
      </c>
      <c r="C37" s="416">
        <f>'Winst en verliesrekening'!B37</f>
        <v>0</v>
      </c>
      <c r="D37" s="417"/>
      <c r="E37" s="405">
        <f>C37</f>
        <v>0</v>
      </c>
      <c r="F37" s="112"/>
      <c r="I37" s="418" t="e">
        <f>'Winst en verliesrekening'!G37</f>
        <v>#DIV/0!</v>
      </c>
      <c r="J37" s="405" t="e">
        <f>'Winst en verliesrekening'!H37</f>
        <v>#DIV/0!</v>
      </c>
      <c r="K37" s="407" t="e">
        <f>'Winst en verliesrekening'!I37</f>
        <v>#DIV/0!</v>
      </c>
      <c r="L37" s="405" t="e">
        <f>E37/'Bedrijfsgegevens NIL'!$B$14*100</f>
        <v>#DIV/0!</v>
      </c>
      <c r="M37" s="405" t="e">
        <f>E37/'Bedrijfsgegevens NIL'!$E$7</f>
        <v>#DIV/0!</v>
      </c>
      <c r="N37" s="407" t="e">
        <f>E37/'Bedrijfsgegevens NIL'!$B$20</f>
        <v>#DIV/0!</v>
      </c>
    </row>
    <row r="38" spans="2:14" x14ac:dyDescent="0.25">
      <c r="B38" s="110" t="str">
        <f>'Winst en verliesrekening'!A38</f>
        <v>Rentebaten en soortgelijke opbrengsten</v>
      </c>
      <c r="C38" s="418">
        <f>'Winst en verliesrekening'!B38</f>
        <v>0</v>
      </c>
      <c r="D38" s="407"/>
      <c r="E38" s="405">
        <f>C38</f>
        <v>0</v>
      </c>
      <c r="F38" s="112"/>
      <c r="I38" s="418" t="e">
        <f>'Winst en verliesrekening'!G38</f>
        <v>#DIV/0!</v>
      </c>
      <c r="J38" s="405" t="e">
        <f>'Winst en verliesrekening'!H38</f>
        <v>#DIV/0!</v>
      </c>
      <c r="K38" s="407" t="e">
        <f>'Winst en verliesrekening'!I38</f>
        <v>#DIV/0!</v>
      </c>
      <c r="L38" s="405" t="e">
        <f>E38/'Bedrijfsgegevens NIL'!$B$14*100</f>
        <v>#DIV/0!</v>
      </c>
      <c r="M38" s="405" t="e">
        <f>E38/'Bedrijfsgegevens NIL'!$E$7</f>
        <v>#DIV/0!</v>
      </c>
      <c r="N38" s="407" t="e">
        <f>E38/'Bedrijfsgegevens NIL'!$B$20</f>
        <v>#DIV/0!</v>
      </c>
    </row>
    <row r="39" spans="2:14" x14ac:dyDescent="0.25">
      <c r="B39" s="110"/>
      <c r="C39" s="418"/>
      <c r="D39" s="407"/>
      <c r="E39" s="405"/>
      <c r="F39" s="112"/>
      <c r="I39" s="418"/>
      <c r="J39" s="405"/>
      <c r="K39" s="407"/>
      <c r="L39" s="405"/>
      <c r="M39" s="405"/>
      <c r="N39" s="407"/>
    </row>
    <row r="40" spans="2:14" x14ac:dyDescent="0.25">
      <c r="B40" s="110" t="str">
        <f>'Winst en verliesrekening'!A40</f>
        <v>Rentelasten en soortgelijke kosten</v>
      </c>
      <c r="C40" s="424">
        <f>'Winst en verliesrekening'!B40</f>
        <v>0</v>
      </c>
      <c r="D40" s="407"/>
      <c r="E40" s="408">
        <f>C40+'Financiering grond'!N2</f>
        <v>0</v>
      </c>
      <c r="F40" s="112"/>
      <c r="I40" s="418" t="e">
        <f>'Winst en verliesrekening'!G40</f>
        <v>#DIV/0!</v>
      </c>
      <c r="J40" s="405" t="e">
        <f>'Winst en verliesrekening'!H40</f>
        <v>#DIV/0!</v>
      </c>
      <c r="K40" s="407" t="e">
        <f>'Winst en verliesrekening'!I40</f>
        <v>#DIV/0!</v>
      </c>
      <c r="L40" s="405" t="e">
        <f>E40/'Bedrijfsgegevens NIL'!$B$14*100</f>
        <v>#DIV/0!</v>
      </c>
      <c r="M40" s="405" t="e">
        <f>E40/'Bedrijfsgegevens NIL'!$E$7</f>
        <v>#DIV/0!</v>
      </c>
      <c r="N40" s="407" t="e">
        <f>E40/'Bedrijfsgegevens NIL'!$B$20</f>
        <v>#DIV/0!</v>
      </c>
    </row>
    <row r="41" spans="2:14" x14ac:dyDescent="0.25">
      <c r="B41" s="110" t="str">
        <f>'Winst en verliesrekening'!A41</f>
        <v>Resultaat</v>
      </c>
      <c r="C41" s="424">
        <f>'Winst en verliesrekening'!B41</f>
        <v>0</v>
      </c>
      <c r="D41" s="407"/>
      <c r="E41" s="408" t="e">
        <f>E35+E37+E38-E40</f>
        <v>#DIV/0!</v>
      </c>
      <c r="F41" s="112"/>
      <c r="I41" s="418" t="e">
        <f>'Winst en verliesrekening'!G41</f>
        <v>#DIV/0!</v>
      </c>
      <c r="J41" s="405" t="e">
        <f>'Winst en verliesrekening'!H41</f>
        <v>#DIV/0!</v>
      </c>
      <c r="K41" s="407" t="e">
        <f>'Winst en verliesrekening'!I41</f>
        <v>#DIV/0!</v>
      </c>
      <c r="L41" s="405" t="e">
        <f>E41/'Bedrijfsgegevens NIL'!$B$14*100</f>
        <v>#DIV/0!</v>
      </c>
      <c r="M41" s="405" t="e">
        <f>E41/'Bedrijfsgegevens NIL'!$E$7</f>
        <v>#DIV/0!</v>
      </c>
      <c r="N41" s="407" t="e">
        <f>E41/'Bedrijfsgegevens NIL'!$B$20</f>
        <v>#DIV/0!</v>
      </c>
    </row>
    <row r="42" spans="2:14" x14ac:dyDescent="0.25">
      <c r="B42" s="110" t="s">
        <v>263</v>
      </c>
      <c r="C42" s="418"/>
      <c r="D42" s="407"/>
      <c r="E42" s="405">
        <f>Maatregelen!I78</f>
        <v>688</v>
      </c>
      <c r="F42" s="112"/>
      <c r="I42" s="418"/>
      <c r="J42" s="405"/>
      <c r="K42" s="407"/>
      <c r="L42" s="405" t="e">
        <f>E42/'Bedrijfsgegevens NIL'!$B$14*100</f>
        <v>#DIV/0!</v>
      </c>
      <c r="M42" s="405" t="e">
        <f>E42/'Bedrijfsgegevens NIL'!$E$7</f>
        <v>#DIV/0!</v>
      </c>
      <c r="N42" s="407" t="e">
        <f>E42/'Bedrijfsgegevens NIL'!$B$20</f>
        <v>#DIV/0!</v>
      </c>
    </row>
    <row r="43" spans="2:14" x14ac:dyDescent="0.25">
      <c r="B43" s="110" t="s">
        <v>264</v>
      </c>
      <c r="C43" s="110"/>
      <c r="D43" s="112"/>
      <c r="E43" s="408" t="e">
        <f>SUM(E41:E42)</f>
        <v>#DIV/0!</v>
      </c>
      <c r="F43" s="112"/>
      <c r="I43" s="110"/>
      <c r="J43" s="156"/>
      <c r="K43" s="112"/>
      <c r="L43" s="405" t="e">
        <f>E43/'Bedrijfsgegevens NIL'!$B$14*100</f>
        <v>#DIV/0!</v>
      </c>
      <c r="M43" s="405" t="e">
        <f>E43/'Bedrijfsgegevens NIL'!$E$7</f>
        <v>#DIV/0!</v>
      </c>
      <c r="N43" s="407" t="e">
        <f>E43/'Bedrijfsgegevens NIL'!$B$20</f>
        <v>#DIV/0!</v>
      </c>
    </row>
    <row r="44" spans="2:14" x14ac:dyDescent="0.25">
      <c r="B44" s="110"/>
      <c r="C44" s="110"/>
      <c r="D44" s="112"/>
      <c r="E44" s="156"/>
      <c r="F44" s="112"/>
      <c r="I44" s="110"/>
      <c r="J44" s="156"/>
      <c r="K44" s="112"/>
      <c r="L44" s="405"/>
      <c r="M44" s="405"/>
      <c r="N44" s="407"/>
    </row>
    <row r="45" spans="2:14" x14ac:dyDescent="0.25">
      <c r="B45" s="110" t="s">
        <v>265</v>
      </c>
      <c r="C45" s="425">
        <f>'Winst en verliesrekening'!B43</f>
        <v>0</v>
      </c>
      <c r="D45" s="112"/>
      <c r="E45" s="493">
        <f>'Winst en verliesrekening'!B43</f>
        <v>0</v>
      </c>
      <c r="F45" s="112"/>
      <c r="I45" s="425" t="e">
        <f>'Winst en verliesrekening'!G43</f>
        <v>#DIV/0!</v>
      </c>
      <c r="J45" s="156"/>
      <c r="K45" s="112"/>
      <c r="L45" s="405" t="e">
        <f>E45/'Bedrijfsgegevens NIL'!$B$14*100</f>
        <v>#DIV/0!</v>
      </c>
      <c r="M45" s="405" t="e">
        <f>E45/'Bedrijfsgegevens NIL'!$E$7</f>
        <v>#DIV/0!</v>
      </c>
      <c r="N45" s="407" t="e">
        <f>E45/'Bedrijfsgegevens NIL'!$B$20</f>
        <v>#DIV/0!</v>
      </c>
    </row>
    <row r="46" spans="2:14" x14ac:dyDescent="0.25">
      <c r="B46" s="110" t="s">
        <v>63</v>
      </c>
      <c r="C46" s="425">
        <f>'Winst en verliesrekening'!B44</f>
        <v>0</v>
      </c>
      <c r="D46" s="112"/>
      <c r="E46" s="405" t="e">
        <f>E43+E26-E45</f>
        <v>#DIV/0!</v>
      </c>
      <c r="F46" s="112"/>
      <c r="I46" s="425" t="e">
        <f>'Winst en verliesrekening'!G44</f>
        <v>#DIV/0!</v>
      </c>
      <c r="J46" s="156"/>
      <c r="K46" s="112"/>
      <c r="L46" s="405" t="e">
        <f>E46/'Bedrijfsgegevens NIL'!$B$14*100</f>
        <v>#DIV/0!</v>
      </c>
      <c r="M46" s="405" t="e">
        <f>E46/'Bedrijfsgegevens NIL'!$E$7</f>
        <v>#DIV/0!</v>
      </c>
      <c r="N46" s="407" t="e">
        <f>E46/'Bedrijfsgegevens NIL'!$B$20</f>
        <v>#DIV/0!</v>
      </c>
    </row>
    <row r="47" spans="2:14" x14ac:dyDescent="0.25">
      <c r="B47" s="110" t="s">
        <v>64</v>
      </c>
      <c r="C47" s="425">
        <f>'Winst en verliesrekening'!B45</f>
        <v>0</v>
      </c>
      <c r="D47" s="112"/>
      <c r="E47" s="413">
        <f>'Winst en verliesrekening'!B45+'Financiering grond'!M2</f>
        <v>0</v>
      </c>
      <c r="F47" s="112"/>
      <c r="I47" s="425" t="e">
        <f>'Winst en verliesrekening'!G45</f>
        <v>#DIV/0!</v>
      </c>
      <c r="J47" s="156"/>
      <c r="K47" s="112"/>
      <c r="L47" s="405" t="e">
        <f>E47/'Bedrijfsgegevens NIL'!$B$14*100</f>
        <v>#DIV/0!</v>
      </c>
      <c r="M47" s="405" t="e">
        <f>E47/'Bedrijfsgegevens NIL'!$E$7</f>
        <v>#DIV/0!</v>
      </c>
      <c r="N47" s="407" t="e">
        <f>E47/'Bedrijfsgegevens NIL'!$B$20</f>
        <v>#DIV/0!</v>
      </c>
    </row>
    <row r="48" spans="2:14" x14ac:dyDescent="0.25">
      <c r="B48" s="110" t="s">
        <v>65</v>
      </c>
      <c r="C48" s="425">
        <f>'Winst en verliesrekening'!B46</f>
        <v>0</v>
      </c>
      <c r="D48" s="112"/>
      <c r="E48" s="493"/>
      <c r="F48" s="112"/>
      <c r="I48" s="425"/>
      <c r="J48" s="156"/>
      <c r="K48" s="112"/>
      <c r="L48" s="405"/>
      <c r="M48" s="156"/>
      <c r="N48" s="112"/>
    </row>
    <row r="49" spans="2:14" x14ac:dyDescent="0.25">
      <c r="B49" s="110" t="s">
        <v>66</v>
      </c>
      <c r="C49" s="425">
        <f>C46-C47-C48</f>
        <v>0</v>
      </c>
      <c r="D49" s="112"/>
      <c r="E49" s="405" t="e">
        <f>E46-E47-E48</f>
        <v>#DIV/0!</v>
      </c>
      <c r="F49" s="112"/>
      <c r="I49" s="425" t="e">
        <f>C49/Bedrijfsgegevens!B17*100</f>
        <v>#DIV/0!</v>
      </c>
      <c r="J49" s="156"/>
      <c r="K49" s="112"/>
      <c r="L49" s="405" t="e">
        <f>E49/'Bedrijfsgegevens NIL'!$B$14*100</f>
        <v>#DIV/0!</v>
      </c>
      <c r="M49" s="156"/>
      <c r="N49" s="112"/>
    </row>
    <row r="50" spans="2:14" x14ac:dyDescent="0.25">
      <c r="B50" s="110"/>
      <c r="C50" s="110"/>
      <c r="D50" s="112"/>
      <c r="E50" s="156"/>
      <c r="F50" s="112"/>
      <c r="I50" s="425"/>
      <c r="J50" s="156"/>
      <c r="K50" s="112"/>
      <c r="L50" s="156"/>
      <c r="M50" s="156"/>
      <c r="N50" s="112"/>
    </row>
    <row r="51" spans="2:14" x14ac:dyDescent="0.25">
      <c r="B51" s="116" t="s">
        <v>67</v>
      </c>
      <c r="C51" s="116"/>
      <c r="D51" s="117"/>
      <c r="E51" s="1"/>
      <c r="F51" s="117"/>
      <c r="I51" s="428" t="e">
        <f>'Winst en verliesrekening'!G49</f>
        <v>#DIV/0!</v>
      </c>
      <c r="J51" s="1"/>
      <c r="K51" s="117"/>
      <c r="L51" s="414" t="e">
        <f>SUM(L11:L19)+SUM(L23:L33)+L40-L37-L38-L5-L6-L7</f>
        <v>#DIV/0!</v>
      </c>
      <c r="M51" s="1"/>
      <c r="N51" s="117"/>
    </row>
    <row r="52" spans="2:14" x14ac:dyDescent="0.25">
      <c r="B52" s="156"/>
      <c r="C52" s="156"/>
      <c r="D52" s="156"/>
      <c r="E52" s="156"/>
      <c r="F52" s="156"/>
      <c r="I52" s="413"/>
      <c r="J52" s="156"/>
      <c r="K52" s="156"/>
      <c r="L52" s="405"/>
      <c r="M52" s="156"/>
      <c r="N52" s="156"/>
    </row>
    <row r="53" spans="2:14" x14ac:dyDescent="0.25">
      <c r="B53" s="397" t="s">
        <v>266</v>
      </c>
      <c r="E53" s="5" t="e">
        <f>Transformatieblad!F25+(Transformatieblad!B19*650)+(Transformatieblad!B20*600)+(Transformatieblad!B21*1250)</f>
        <v>#N/A</v>
      </c>
    </row>
    <row r="54" spans="2:14" x14ac:dyDescent="0.25">
      <c r="B54" s="47"/>
    </row>
  </sheetData>
  <mergeCells count="9">
    <mergeCell ref="B36:F36"/>
    <mergeCell ref="G3:H3"/>
    <mergeCell ref="I2:K2"/>
    <mergeCell ref="E2:F2"/>
    <mergeCell ref="L2:N2"/>
    <mergeCell ref="C2:D2"/>
    <mergeCell ref="B9:F9"/>
    <mergeCell ref="B3:F3"/>
    <mergeCell ref="B22:F22"/>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5F6F84-B6E9-4430-B206-3E596B457A1E}">
  <sheetPr codeName="Blad11">
    <tabColor theme="9" tint="0.59999389629810485"/>
  </sheetPr>
  <dimension ref="B2:E7"/>
  <sheetViews>
    <sheetView zoomScale="85" zoomScaleNormal="85" workbookViewId="0">
      <selection activeCell="T12" sqref="T12"/>
    </sheetView>
  </sheetViews>
  <sheetFormatPr defaultRowHeight="15" x14ac:dyDescent="0.25"/>
  <cols>
    <col min="2" max="2" width="19.42578125" bestFit="1" customWidth="1"/>
    <col min="3" max="4" width="16.7109375" bestFit="1" customWidth="1"/>
    <col min="5" max="5" width="12.42578125" customWidth="1"/>
  </cols>
  <sheetData>
    <row r="2" spans="2:5" x14ac:dyDescent="0.25">
      <c r="B2" s="22" t="s">
        <v>267</v>
      </c>
      <c r="C2" s="100">
        <v>2019</v>
      </c>
      <c r="D2" s="151" t="s">
        <v>262</v>
      </c>
      <c r="E2" s="2"/>
    </row>
    <row r="3" spans="2:5" x14ac:dyDescent="0.25">
      <c r="B3" s="110" t="s">
        <v>44</v>
      </c>
      <c r="C3" s="555" t="e">
        <f>'Winst en verlies NIL'!I21</f>
        <v>#DIV/0!</v>
      </c>
      <c r="D3" s="139" t="e">
        <f>'Winst en verlies NIL'!L21</f>
        <v>#DIV/0!</v>
      </c>
    </row>
    <row r="4" spans="2:5" x14ac:dyDescent="0.25">
      <c r="B4" s="110" t="s">
        <v>61</v>
      </c>
      <c r="C4" s="555" t="e">
        <f>'Winst en verlies NIL'!I41</f>
        <v>#DIV/0!</v>
      </c>
      <c r="D4" s="139" t="e">
        <f>'Winst en verlies NIL'!L43</f>
        <v>#DIV/0!</v>
      </c>
    </row>
    <row r="5" spans="2:5" x14ac:dyDescent="0.25">
      <c r="B5" s="110" t="s">
        <v>67</v>
      </c>
      <c r="C5" s="555" t="e">
        <f>'Winst en verlies NIL'!I51</f>
        <v>#DIV/0!</v>
      </c>
      <c r="D5" s="139" t="e">
        <f>'Winst en verlies NIL'!L51</f>
        <v>#DIV/0!</v>
      </c>
    </row>
    <row r="6" spans="2:5" x14ac:dyDescent="0.25">
      <c r="B6" s="110" t="s">
        <v>63</v>
      </c>
      <c r="C6" s="555" t="e">
        <f>'Winst en verlies NIL'!I46</f>
        <v>#DIV/0!</v>
      </c>
      <c r="D6" s="139" t="e">
        <f>'Winst en verlies NIL'!L46</f>
        <v>#DIV/0!</v>
      </c>
    </row>
    <row r="7" spans="2:5" x14ac:dyDescent="0.25">
      <c r="B7" s="116" t="s">
        <v>66</v>
      </c>
      <c r="C7" s="556" t="e">
        <f>'Winst en verlies NIL'!I49</f>
        <v>#DIV/0!</v>
      </c>
      <c r="D7" s="142" t="e">
        <f>'Winst en verlies NIL'!L49</f>
        <v>#DIV/0!</v>
      </c>
    </row>
  </sheetData>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793D-6E2E-4752-B548-4F73876A586B}">
  <sheetPr codeName="Blad12">
    <tabColor theme="7" tint="0.59999389629810485"/>
  </sheetPr>
  <dimension ref="A2:P430"/>
  <sheetViews>
    <sheetView zoomScale="85" zoomScaleNormal="85" workbookViewId="0">
      <pane xSplit="1" ySplit="8" topLeftCell="B398" activePane="bottomRight" state="frozen"/>
      <selection pane="topRight" activeCell="B1" sqref="B1"/>
      <selection pane="bottomLeft" activeCell="A7" sqref="A7"/>
      <selection pane="bottomRight" activeCell="C418" sqref="C418"/>
    </sheetView>
  </sheetViews>
  <sheetFormatPr defaultRowHeight="15" x14ac:dyDescent="0.25"/>
  <cols>
    <col min="2" max="2" width="85.7109375" bestFit="1" customWidth="1"/>
    <col min="3" max="3" width="42.85546875" customWidth="1"/>
    <col min="4" max="4" width="21.28515625" bestFit="1" customWidth="1"/>
    <col min="5" max="5" width="19.5703125" style="40" bestFit="1" customWidth="1"/>
    <col min="6" max="6" width="16.7109375" style="40" bestFit="1" customWidth="1"/>
    <col min="7" max="7" width="15.7109375" customWidth="1"/>
    <col min="9" max="9" width="40.7109375" bestFit="1" customWidth="1"/>
    <col min="10" max="10" width="31.7109375" bestFit="1" customWidth="1"/>
    <col min="11" max="12" width="7" bestFit="1" customWidth="1"/>
    <col min="13" max="13" width="11.42578125" bestFit="1" customWidth="1"/>
    <col min="15" max="15" width="9.5703125" bestFit="1" customWidth="1"/>
  </cols>
  <sheetData>
    <row r="2" spans="1:7" x14ac:dyDescent="0.25">
      <c r="B2" t="s">
        <v>268</v>
      </c>
      <c r="C2">
        <v>10</v>
      </c>
      <c r="D2" t="s">
        <v>269</v>
      </c>
    </row>
    <row r="3" spans="1:7" x14ac:dyDescent="0.25">
      <c r="B3" t="s">
        <v>270</v>
      </c>
      <c r="C3" s="40">
        <v>734</v>
      </c>
      <c r="D3" t="s">
        <v>271</v>
      </c>
    </row>
    <row r="4" spans="1:7" x14ac:dyDescent="0.25">
      <c r="B4" t="s">
        <v>272</v>
      </c>
      <c r="C4" s="340">
        <v>0.54</v>
      </c>
    </row>
    <row r="5" spans="1:7" x14ac:dyDescent="0.25">
      <c r="B5" t="s">
        <v>273</v>
      </c>
      <c r="C5" s="363">
        <v>0.17599999999999999</v>
      </c>
    </row>
    <row r="7" spans="1:7" x14ac:dyDescent="0.25">
      <c r="B7" s="665" t="s">
        <v>274</v>
      </c>
      <c r="C7" s="666"/>
      <c r="D7" s="666"/>
      <c r="E7" s="666"/>
      <c r="F7" s="666"/>
      <c r="G7" s="666"/>
    </row>
    <row r="8" spans="1:7" x14ac:dyDescent="0.25">
      <c r="B8" s="196" t="s">
        <v>275</v>
      </c>
      <c r="C8" s="196" t="s">
        <v>276</v>
      </c>
      <c r="D8" s="196" t="s">
        <v>154</v>
      </c>
      <c r="E8" s="197" t="s">
        <v>155</v>
      </c>
      <c r="F8" s="197" t="s">
        <v>127</v>
      </c>
      <c r="G8" s="196" t="s">
        <v>277</v>
      </c>
    </row>
    <row r="9" spans="1:7" x14ac:dyDescent="0.25">
      <c r="B9" s="2"/>
    </row>
    <row r="10" spans="1:7" x14ac:dyDescent="0.25">
      <c r="B10" s="34" t="s">
        <v>488</v>
      </c>
    </row>
    <row r="11" spans="1:7" x14ac:dyDescent="0.25">
      <c r="A11">
        <v>3</v>
      </c>
      <c r="B11" s="48" t="s">
        <v>181</v>
      </c>
      <c r="C11" s="55"/>
      <c r="D11" s="317" t="s">
        <v>8</v>
      </c>
      <c r="E11" s="318">
        <f>E15</f>
        <v>0</v>
      </c>
      <c r="F11" s="319">
        <f>F15</f>
        <v>1400</v>
      </c>
      <c r="G11" s="320">
        <f>G15</f>
        <v>-1400</v>
      </c>
    </row>
    <row r="12" spans="1:7" x14ac:dyDescent="0.25">
      <c r="B12" s="49" t="s">
        <v>278</v>
      </c>
      <c r="C12" s="636" t="s">
        <v>279</v>
      </c>
      <c r="D12" s="49" t="s">
        <v>280</v>
      </c>
      <c r="E12" s="53"/>
      <c r="F12" s="53">
        <v>10000</v>
      </c>
      <c r="G12" s="49"/>
    </row>
    <row r="13" spans="1:7" ht="14.45" customHeight="1" x14ac:dyDescent="0.25">
      <c r="B13" s="49" t="s">
        <v>281</v>
      </c>
      <c r="C13" s="636"/>
      <c r="D13" s="49" t="s">
        <v>282</v>
      </c>
      <c r="E13" s="53"/>
      <c r="F13" s="53">
        <v>400</v>
      </c>
      <c r="G13" s="49"/>
    </row>
    <row r="14" spans="1:7" x14ac:dyDescent="0.25">
      <c r="B14" s="49" t="s">
        <v>283</v>
      </c>
      <c r="C14" s="58" t="s">
        <v>284</v>
      </c>
      <c r="D14" s="66">
        <v>0.1</v>
      </c>
      <c r="E14" s="53">
        <f>(Voer!G18+Voer!G19+Voer!G20)*Selectievakken!J3*Selectievakken!K3/1000*'Toelichting maatregelen'!D14*'Toelichting maatregelen'!C5</f>
        <v>0</v>
      </c>
      <c r="F14" s="53"/>
      <c r="G14" s="49"/>
    </row>
    <row r="15" spans="1:7" x14ac:dyDescent="0.25">
      <c r="B15" s="50" t="s">
        <v>285</v>
      </c>
      <c r="C15" s="59"/>
      <c r="D15" s="51"/>
      <c r="E15" s="54">
        <f>E14</f>
        <v>0</v>
      </c>
      <c r="F15" s="54">
        <f>F12/C2+F13</f>
        <v>1400</v>
      </c>
      <c r="G15" s="67">
        <f>E15-F15</f>
        <v>-1400</v>
      </c>
    </row>
    <row r="16" spans="1:7" x14ac:dyDescent="0.25">
      <c r="C16" s="45"/>
    </row>
    <row r="17" spans="1:7" x14ac:dyDescent="0.25">
      <c r="A17">
        <v>3</v>
      </c>
      <c r="B17" s="380" t="s">
        <v>182</v>
      </c>
      <c r="C17" s="55"/>
      <c r="D17" s="46" t="s">
        <v>203</v>
      </c>
      <c r="E17" s="52" t="s">
        <v>286</v>
      </c>
      <c r="F17" s="52" t="s">
        <v>286</v>
      </c>
      <c r="G17" s="379" t="s">
        <v>286</v>
      </c>
    </row>
    <row r="18" spans="1:7" x14ac:dyDescent="0.25">
      <c r="B18" s="49"/>
      <c r="C18" s="640" t="s">
        <v>287</v>
      </c>
      <c r="D18" s="634"/>
      <c r="E18" s="634"/>
      <c r="F18" s="634"/>
      <c r="G18" s="635"/>
    </row>
    <row r="19" spans="1:7" x14ac:dyDescent="0.25">
      <c r="B19" s="49"/>
      <c r="C19" s="641"/>
      <c r="D19" s="636"/>
      <c r="E19" s="636"/>
      <c r="F19" s="636"/>
      <c r="G19" s="637"/>
    </row>
    <row r="20" spans="1:7" x14ac:dyDescent="0.25">
      <c r="B20" s="62"/>
      <c r="C20" s="641"/>
      <c r="D20" s="636"/>
      <c r="E20" s="636"/>
      <c r="F20" s="636"/>
      <c r="G20" s="637"/>
    </row>
    <row r="21" spans="1:7" x14ac:dyDescent="0.25">
      <c r="B21" s="50" t="s">
        <v>8</v>
      </c>
      <c r="C21" s="642"/>
      <c r="D21" s="638"/>
      <c r="E21" s="638"/>
      <c r="F21" s="638"/>
      <c r="G21" s="639"/>
    </row>
    <row r="23" spans="1:7" ht="14.45" customHeight="1" x14ac:dyDescent="0.25">
      <c r="A23">
        <v>3</v>
      </c>
      <c r="B23" s="224" t="s">
        <v>183</v>
      </c>
      <c r="C23" s="686"/>
      <c r="D23" s="260" t="s">
        <v>203</v>
      </c>
      <c r="E23" s="377">
        <v>0</v>
      </c>
      <c r="F23" s="377">
        <v>0</v>
      </c>
      <c r="G23" s="378">
        <v>0</v>
      </c>
    </row>
    <row r="24" spans="1:7" x14ac:dyDescent="0.25">
      <c r="B24" s="18" t="s">
        <v>278</v>
      </c>
      <c r="C24" s="664" t="s">
        <v>288</v>
      </c>
      <c r="D24" s="662"/>
      <c r="E24" s="662"/>
      <c r="F24" s="662"/>
      <c r="G24" s="663"/>
    </row>
    <row r="25" spans="1:7" x14ac:dyDescent="0.25">
      <c r="B25" s="18" t="s">
        <v>289</v>
      </c>
      <c r="C25" s="664"/>
      <c r="D25" s="662"/>
      <c r="E25" s="662"/>
      <c r="F25" s="662"/>
      <c r="G25" s="663"/>
    </row>
    <row r="26" spans="1:7" x14ac:dyDescent="0.25">
      <c r="B26" s="262"/>
      <c r="C26" s="664"/>
      <c r="D26" s="662"/>
      <c r="E26" s="662"/>
      <c r="F26" s="662"/>
      <c r="G26" s="663"/>
    </row>
    <row r="27" spans="1:7" x14ac:dyDescent="0.25">
      <c r="B27" s="225" t="s">
        <v>8</v>
      </c>
      <c r="C27" s="687"/>
      <c r="D27" s="667"/>
      <c r="E27" s="667"/>
      <c r="F27" s="667"/>
      <c r="G27" s="668"/>
    </row>
    <row r="29" spans="1:7" x14ac:dyDescent="0.25">
      <c r="A29">
        <v>2</v>
      </c>
      <c r="B29" s="380" t="s">
        <v>184</v>
      </c>
      <c r="C29" s="55"/>
      <c r="D29" s="46" t="s">
        <v>203</v>
      </c>
      <c r="E29" s="52" t="s">
        <v>286</v>
      </c>
      <c r="F29" s="52" t="s">
        <v>286</v>
      </c>
      <c r="G29" s="52" t="s">
        <v>286</v>
      </c>
    </row>
    <row r="30" spans="1:7" x14ac:dyDescent="0.25">
      <c r="B30" s="49" t="s">
        <v>278</v>
      </c>
      <c r="C30" s="640" t="s">
        <v>290</v>
      </c>
      <c r="D30" s="634"/>
      <c r="E30" s="634"/>
      <c r="F30" s="634"/>
      <c r="G30" s="635"/>
    </row>
    <row r="31" spans="1:7" x14ac:dyDescent="0.25">
      <c r="B31" s="49" t="s">
        <v>291</v>
      </c>
      <c r="C31" s="641"/>
      <c r="D31" s="636"/>
      <c r="E31" s="636"/>
      <c r="F31" s="636"/>
      <c r="G31" s="637"/>
    </row>
    <row r="32" spans="1:7" x14ac:dyDescent="0.25">
      <c r="B32" s="62"/>
      <c r="C32" s="641"/>
      <c r="D32" s="636"/>
      <c r="E32" s="636"/>
      <c r="F32" s="636"/>
      <c r="G32" s="637"/>
    </row>
    <row r="33" spans="1:7" x14ac:dyDescent="0.25">
      <c r="B33" s="50" t="s">
        <v>8</v>
      </c>
      <c r="C33" s="642"/>
      <c r="D33" s="638"/>
      <c r="E33" s="638"/>
      <c r="F33" s="638"/>
      <c r="G33" s="639"/>
    </row>
    <row r="35" spans="1:7" x14ac:dyDescent="0.25">
      <c r="A35">
        <v>2</v>
      </c>
      <c r="B35" s="380" t="s">
        <v>185</v>
      </c>
      <c r="C35" s="55"/>
      <c r="D35" s="46" t="s">
        <v>203</v>
      </c>
      <c r="E35" s="52">
        <v>0</v>
      </c>
      <c r="F35" s="52">
        <v>0</v>
      </c>
      <c r="G35" s="52">
        <v>0</v>
      </c>
    </row>
    <row r="36" spans="1:7" x14ac:dyDescent="0.25">
      <c r="B36" s="49" t="s">
        <v>278</v>
      </c>
      <c r="C36" s="640" t="s">
        <v>292</v>
      </c>
      <c r="D36" s="634"/>
      <c r="E36" s="634"/>
      <c r="F36" s="634"/>
      <c r="G36" s="635"/>
    </row>
    <row r="37" spans="1:7" x14ac:dyDescent="0.25">
      <c r="B37" s="49" t="s">
        <v>293</v>
      </c>
      <c r="C37" s="641"/>
      <c r="D37" s="636"/>
      <c r="E37" s="636"/>
      <c r="F37" s="636"/>
      <c r="G37" s="637"/>
    </row>
    <row r="38" spans="1:7" x14ac:dyDescent="0.25">
      <c r="B38" s="49" t="s">
        <v>294</v>
      </c>
      <c r="C38" s="641"/>
      <c r="D38" s="636"/>
      <c r="E38" s="636"/>
      <c r="F38" s="636"/>
      <c r="G38" s="637"/>
    </row>
    <row r="39" spans="1:7" x14ac:dyDescent="0.25">
      <c r="B39" s="50" t="s">
        <v>8</v>
      </c>
      <c r="C39" s="642"/>
      <c r="D39" s="638"/>
      <c r="E39" s="638"/>
      <c r="F39" s="638"/>
      <c r="G39" s="639"/>
    </row>
    <row r="41" spans="1:7" ht="14.45" customHeight="1" x14ac:dyDescent="0.25">
      <c r="A41" t="s">
        <v>295</v>
      </c>
      <c r="B41" s="48" t="s">
        <v>186</v>
      </c>
      <c r="C41" s="193"/>
      <c r="D41" s="193" t="s">
        <v>203</v>
      </c>
      <c r="E41" s="222" t="s">
        <v>286</v>
      </c>
      <c r="F41" s="222" t="s">
        <v>286</v>
      </c>
      <c r="G41" s="223" t="s">
        <v>286</v>
      </c>
    </row>
    <row r="42" spans="1:7" x14ac:dyDescent="0.25">
      <c r="B42" s="49" t="s">
        <v>278</v>
      </c>
      <c r="C42" s="669" t="s">
        <v>296</v>
      </c>
      <c r="D42" s="669"/>
      <c r="E42" s="669"/>
      <c r="F42" s="669"/>
      <c r="G42" s="670"/>
    </row>
    <row r="43" spans="1:7" ht="15" customHeight="1" x14ac:dyDescent="0.25">
      <c r="B43" s="49" t="s">
        <v>297</v>
      </c>
      <c r="C43" s="662"/>
      <c r="D43" s="662"/>
      <c r="E43" s="662"/>
      <c r="F43" s="662"/>
      <c r="G43" s="663"/>
    </row>
    <row r="44" spans="1:7" x14ac:dyDescent="0.25">
      <c r="B44" s="496"/>
      <c r="C44" s="662"/>
      <c r="D44" s="662"/>
      <c r="E44" s="662"/>
      <c r="F44" s="662"/>
      <c r="G44" s="663"/>
    </row>
    <row r="45" spans="1:7" x14ac:dyDescent="0.25">
      <c r="B45" s="50" t="s">
        <v>8</v>
      </c>
      <c r="C45" s="59"/>
      <c r="D45" s="61"/>
      <c r="E45" s="60"/>
      <c r="F45" s="60"/>
      <c r="G45" s="226"/>
    </row>
    <row r="47" spans="1:7" x14ac:dyDescent="0.25">
      <c r="A47">
        <v>3</v>
      </c>
      <c r="B47" s="224" t="s">
        <v>187</v>
      </c>
      <c r="C47" s="681" t="s">
        <v>298</v>
      </c>
      <c r="D47" s="682" t="s">
        <v>203</v>
      </c>
      <c r="E47" s="683"/>
      <c r="F47" s="684">
        <v>-63</v>
      </c>
      <c r="G47" s="685">
        <f>E47-F47</f>
        <v>63</v>
      </c>
    </row>
    <row r="48" spans="1:7" ht="33.75" customHeight="1" x14ac:dyDescent="0.25">
      <c r="B48" s="18" t="s">
        <v>278</v>
      </c>
      <c r="C48" s="640" t="s">
        <v>299</v>
      </c>
      <c r="D48" s="55"/>
      <c r="E48" s="56"/>
      <c r="F48" s="56"/>
      <c r="G48" s="325"/>
    </row>
    <row r="49" spans="1:7" x14ac:dyDescent="0.25">
      <c r="B49" s="49" t="s">
        <v>300</v>
      </c>
      <c r="C49" s="641"/>
      <c r="D49" s="41"/>
      <c r="E49" s="57"/>
      <c r="F49" s="57"/>
      <c r="G49" s="283"/>
    </row>
    <row r="50" spans="1:7" x14ac:dyDescent="0.25">
      <c r="B50" s="225" t="s">
        <v>8</v>
      </c>
      <c r="C50" s="383"/>
      <c r="D50" s="61"/>
      <c r="E50" s="60"/>
      <c r="F50" s="60"/>
      <c r="G50" s="226"/>
    </row>
    <row r="51" spans="1:7" x14ac:dyDescent="0.25">
      <c r="B51" s="110"/>
    </row>
    <row r="52" spans="1:7" x14ac:dyDescent="0.25">
      <c r="A52">
        <v>3</v>
      </c>
      <c r="B52" s="224" t="s">
        <v>188</v>
      </c>
      <c r="C52" s="46"/>
      <c r="D52" s="55" t="s">
        <v>203</v>
      </c>
      <c r="E52" s="52"/>
      <c r="F52" s="56"/>
      <c r="G52" s="46"/>
    </row>
    <row r="53" spans="1:7" x14ac:dyDescent="0.25">
      <c r="B53" s="18" t="s">
        <v>278</v>
      </c>
      <c r="C53" s="49" t="s">
        <v>91</v>
      </c>
      <c r="D53" s="41"/>
      <c r="E53" s="53">
        <v>1401</v>
      </c>
      <c r="F53" s="57">
        <v>1310</v>
      </c>
      <c r="G53" s="322">
        <f>E53-F53</f>
        <v>91</v>
      </c>
    </row>
    <row r="54" spans="1:7" x14ac:dyDescent="0.25">
      <c r="B54" s="18" t="s">
        <v>301</v>
      </c>
      <c r="C54" s="49" t="s">
        <v>92</v>
      </c>
      <c r="D54" s="41"/>
      <c r="E54" s="53">
        <v>961</v>
      </c>
      <c r="F54" s="57">
        <v>1600</v>
      </c>
      <c r="G54" s="322">
        <f t="shared" ref="G54:G56" si="0">E54-F54</f>
        <v>-639</v>
      </c>
    </row>
    <row r="55" spans="1:7" x14ac:dyDescent="0.25">
      <c r="B55" s="557" t="s">
        <v>466</v>
      </c>
      <c r="C55" s="49" t="s">
        <v>302</v>
      </c>
      <c r="D55" s="65"/>
      <c r="E55" s="53">
        <v>806</v>
      </c>
      <c r="F55" s="57">
        <v>1200</v>
      </c>
      <c r="G55" s="322">
        <f t="shared" si="0"/>
        <v>-394</v>
      </c>
    </row>
    <row r="56" spans="1:7" x14ac:dyDescent="0.25">
      <c r="B56" s="18" t="s">
        <v>303</v>
      </c>
      <c r="C56" s="49" t="s">
        <v>304</v>
      </c>
      <c r="D56" s="65"/>
      <c r="E56" s="53">
        <v>697</v>
      </c>
      <c r="F56" s="57">
        <v>871</v>
      </c>
      <c r="G56" s="322">
        <f t="shared" si="0"/>
        <v>-174</v>
      </c>
    </row>
    <row r="57" spans="1:7" x14ac:dyDescent="0.25">
      <c r="B57" s="383" t="s">
        <v>305</v>
      </c>
      <c r="C57" s="679"/>
      <c r="D57" s="61"/>
      <c r="E57" s="54"/>
      <c r="F57" s="60"/>
      <c r="G57" s="51"/>
    </row>
    <row r="58" spans="1:7" x14ac:dyDescent="0.25">
      <c r="B58" s="497"/>
    </row>
    <row r="59" spans="1:7" x14ac:dyDescent="0.25">
      <c r="A59">
        <v>3</v>
      </c>
      <c r="B59" s="48" t="s">
        <v>190</v>
      </c>
      <c r="C59" s="55"/>
      <c r="D59" s="317" t="s">
        <v>203</v>
      </c>
      <c r="E59" s="52" t="s">
        <v>286</v>
      </c>
      <c r="F59" s="52" t="s">
        <v>286</v>
      </c>
      <c r="G59" s="52" t="s">
        <v>286</v>
      </c>
    </row>
    <row r="60" spans="1:7" x14ac:dyDescent="0.25">
      <c r="B60" s="49" t="s">
        <v>278</v>
      </c>
      <c r="C60" s="640" t="s">
        <v>306</v>
      </c>
      <c r="D60" s="634"/>
      <c r="E60" s="634"/>
      <c r="F60" s="634"/>
      <c r="G60" s="635"/>
    </row>
    <row r="61" spans="1:7" x14ac:dyDescent="0.25">
      <c r="B61" s="49"/>
      <c r="C61" s="641"/>
      <c r="D61" s="636"/>
      <c r="E61" s="636"/>
      <c r="F61" s="636"/>
      <c r="G61" s="637"/>
    </row>
    <row r="62" spans="1:7" x14ac:dyDescent="0.25">
      <c r="B62" s="62"/>
      <c r="C62" s="641"/>
      <c r="D62" s="636"/>
      <c r="E62" s="636"/>
      <c r="F62" s="636"/>
      <c r="G62" s="637"/>
    </row>
    <row r="63" spans="1:7" x14ac:dyDescent="0.25">
      <c r="B63" s="50" t="s">
        <v>8</v>
      </c>
      <c r="C63" s="642"/>
      <c r="D63" s="638"/>
      <c r="E63" s="638"/>
      <c r="F63" s="638"/>
      <c r="G63" s="639"/>
    </row>
    <row r="65" spans="1:16" x14ac:dyDescent="0.25">
      <c r="A65">
        <v>3</v>
      </c>
      <c r="B65" s="224" t="s">
        <v>191</v>
      </c>
      <c r="C65" s="317"/>
      <c r="D65" s="46" t="s">
        <v>203</v>
      </c>
      <c r="E65" s="319"/>
      <c r="F65" s="56"/>
      <c r="G65" s="330">
        <f>F66-F67</f>
        <v>528</v>
      </c>
    </row>
    <row r="66" spans="1:16" x14ac:dyDescent="0.25">
      <c r="B66" s="18" t="s">
        <v>278</v>
      </c>
      <c r="C66" s="18" t="s">
        <v>307</v>
      </c>
      <c r="D66" s="334" t="s">
        <v>308</v>
      </c>
      <c r="E66" s="329">
        <v>16500</v>
      </c>
      <c r="F66" s="328">
        <f>E66*C5</f>
        <v>2904</v>
      </c>
      <c r="G66" s="283"/>
      <c r="I66" s="335"/>
      <c r="J66" s="47"/>
      <c r="K66" s="336"/>
      <c r="L66" s="336"/>
      <c r="M66" s="114"/>
      <c r="N66" s="47"/>
      <c r="O66" s="114"/>
      <c r="P66" s="47"/>
    </row>
    <row r="67" spans="1:16" x14ac:dyDescent="0.25">
      <c r="B67" s="49" t="s">
        <v>309</v>
      </c>
      <c r="C67" s="18" t="s">
        <v>310</v>
      </c>
      <c r="D67" s="49" t="s">
        <v>308</v>
      </c>
      <c r="E67" s="327">
        <v>13500</v>
      </c>
      <c r="F67" s="331">
        <f>E67*C5</f>
        <v>2376</v>
      </c>
      <c r="G67" s="283"/>
      <c r="I67" s="335"/>
      <c r="J67" s="47"/>
      <c r="K67" s="47"/>
      <c r="L67" s="336"/>
      <c r="M67" s="114"/>
      <c r="N67" s="47"/>
      <c r="O67" s="114"/>
      <c r="P67" s="47"/>
    </row>
    <row r="68" spans="1:16" x14ac:dyDescent="0.25">
      <c r="B68" s="262"/>
      <c r="C68" s="332"/>
      <c r="D68" s="63"/>
      <c r="E68" s="57"/>
      <c r="F68" s="53"/>
      <c r="G68" s="283"/>
      <c r="I68" s="335"/>
      <c r="J68" s="47"/>
      <c r="K68" s="47"/>
      <c r="L68" s="336"/>
      <c r="M68" s="114"/>
      <c r="N68" s="47"/>
      <c r="O68" s="114"/>
      <c r="P68" s="47"/>
    </row>
    <row r="69" spans="1:16" x14ac:dyDescent="0.25">
      <c r="B69" s="225" t="s">
        <v>8</v>
      </c>
      <c r="C69" s="333"/>
      <c r="D69" s="51"/>
      <c r="E69" s="60"/>
      <c r="F69" s="54"/>
      <c r="G69" s="226"/>
    </row>
    <row r="71" spans="1:16" x14ac:dyDescent="0.25">
      <c r="A71">
        <v>2</v>
      </c>
      <c r="B71" s="48" t="s">
        <v>192</v>
      </c>
      <c r="C71" s="55"/>
      <c r="D71" s="46" t="s">
        <v>203</v>
      </c>
      <c r="E71" s="52">
        <f>E72</f>
        <v>139.19999999999999</v>
      </c>
      <c r="F71" s="52">
        <f>F73</f>
        <v>114.84</v>
      </c>
      <c r="G71" s="308">
        <f>E72-F73</f>
        <v>24.359999999999985</v>
      </c>
    </row>
    <row r="72" spans="1:16" x14ac:dyDescent="0.25">
      <c r="B72" s="49" t="s">
        <v>278</v>
      </c>
      <c r="C72" s="58" t="s">
        <v>311</v>
      </c>
      <c r="D72" s="49"/>
      <c r="E72" s="53">
        <v>139.19999999999999</v>
      </c>
      <c r="F72" s="53"/>
      <c r="G72" s="49"/>
    </row>
    <row r="73" spans="1:16" x14ac:dyDescent="0.25">
      <c r="B73" s="49" t="s">
        <v>312</v>
      </c>
      <c r="C73" s="326" t="s">
        <v>313</v>
      </c>
      <c r="D73" s="49"/>
      <c r="E73" s="53"/>
      <c r="F73" s="53">
        <v>114.84</v>
      </c>
      <c r="G73" s="49"/>
    </row>
    <row r="74" spans="1:16" x14ac:dyDescent="0.25">
      <c r="B74" s="49" t="s">
        <v>314</v>
      </c>
      <c r="C74" s="58"/>
      <c r="D74" s="63"/>
      <c r="E74" s="53"/>
      <c r="F74" s="53"/>
      <c r="G74" s="49"/>
    </row>
    <row r="75" spans="1:16" x14ac:dyDescent="0.25">
      <c r="B75" s="50" t="s">
        <v>8</v>
      </c>
      <c r="C75" s="59"/>
      <c r="D75" s="51"/>
      <c r="E75" s="54"/>
      <c r="F75" s="54"/>
      <c r="G75" s="51"/>
    </row>
    <row r="77" spans="1:16" x14ac:dyDescent="0.25">
      <c r="B77" s="380" t="s">
        <v>193</v>
      </c>
      <c r="C77" s="55"/>
      <c r="D77" s="438" t="s">
        <v>315</v>
      </c>
      <c r="E77" s="52" t="s">
        <v>286</v>
      </c>
      <c r="F77" s="52" t="s">
        <v>286</v>
      </c>
      <c r="G77" s="52" t="s">
        <v>286</v>
      </c>
    </row>
    <row r="78" spans="1:16" x14ac:dyDescent="0.25">
      <c r="B78" s="49" t="s">
        <v>278</v>
      </c>
      <c r="C78" s="640" t="s">
        <v>316</v>
      </c>
      <c r="D78" s="634"/>
      <c r="E78" s="634"/>
      <c r="F78" s="634"/>
      <c r="G78" s="635"/>
    </row>
    <row r="79" spans="1:16" x14ac:dyDescent="0.25">
      <c r="B79" s="49"/>
      <c r="C79" s="641"/>
      <c r="D79" s="636"/>
      <c r="E79" s="636"/>
      <c r="F79" s="636"/>
      <c r="G79" s="637"/>
    </row>
    <row r="80" spans="1:16" x14ac:dyDescent="0.25">
      <c r="B80" s="62"/>
      <c r="C80" s="641"/>
      <c r="D80" s="636"/>
      <c r="E80" s="636"/>
      <c r="F80" s="636"/>
      <c r="G80" s="637"/>
    </row>
    <row r="81" spans="1:7" x14ac:dyDescent="0.25">
      <c r="B81" s="50" t="s">
        <v>8</v>
      </c>
      <c r="C81" s="642"/>
      <c r="D81" s="638"/>
      <c r="E81" s="638"/>
      <c r="F81" s="638"/>
      <c r="G81" s="639"/>
    </row>
    <row r="83" spans="1:7" x14ac:dyDescent="0.25">
      <c r="A83">
        <v>2</v>
      </c>
      <c r="B83" s="224" t="s">
        <v>194</v>
      </c>
      <c r="C83" s="46"/>
      <c r="D83" s="55" t="s">
        <v>203</v>
      </c>
      <c r="E83" s="52">
        <f>E86</f>
        <v>111.42207999999999</v>
      </c>
      <c r="F83" s="56">
        <f>F85</f>
        <v>154</v>
      </c>
      <c r="G83" s="680">
        <f>E83-F83</f>
        <v>-42.577920000000006</v>
      </c>
    </row>
    <row r="84" spans="1:7" x14ac:dyDescent="0.25">
      <c r="B84" s="18" t="s">
        <v>278</v>
      </c>
      <c r="C84" s="678"/>
      <c r="D84" s="41"/>
      <c r="E84" s="53"/>
      <c r="F84" s="57"/>
      <c r="G84" s="49"/>
    </row>
    <row r="85" spans="1:7" x14ac:dyDescent="0.25">
      <c r="B85" s="18" t="s">
        <v>293</v>
      </c>
      <c r="C85" s="678" t="s">
        <v>317</v>
      </c>
      <c r="D85" s="41" t="s">
        <v>28</v>
      </c>
      <c r="E85" s="53"/>
      <c r="F85" s="57">
        <v>154</v>
      </c>
      <c r="G85" s="49"/>
    </row>
    <row r="86" spans="1:7" x14ac:dyDescent="0.25">
      <c r="B86" s="18" t="s">
        <v>318</v>
      </c>
      <c r="C86" s="326" t="s">
        <v>319</v>
      </c>
      <c r="D86" s="282">
        <v>0.04</v>
      </c>
      <c r="E86" s="53">
        <f>15827*D86*C5</f>
        <v>111.42207999999999</v>
      </c>
      <c r="F86" s="57"/>
      <c r="G86" s="49"/>
    </row>
    <row r="87" spans="1:7" x14ac:dyDescent="0.25">
      <c r="B87" s="225" t="s">
        <v>8</v>
      </c>
      <c r="C87" s="679"/>
      <c r="D87" s="61"/>
      <c r="E87" s="54"/>
      <c r="F87" s="60"/>
      <c r="G87" s="67"/>
    </row>
    <row r="89" spans="1:7" ht="14.45" customHeight="1" x14ac:dyDescent="0.25">
      <c r="A89">
        <v>2</v>
      </c>
      <c r="B89" s="224" t="s">
        <v>195</v>
      </c>
      <c r="C89" s="193"/>
      <c r="D89" s="193" t="s">
        <v>203</v>
      </c>
      <c r="E89" s="222">
        <v>0</v>
      </c>
      <c r="F89" s="222">
        <v>0</v>
      </c>
      <c r="G89" s="223">
        <v>0</v>
      </c>
    </row>
    <row r="90" spans="1:7" x14ac:dyDescent="0.25">
      <c r="B90" s="18" t="s">
        <v>278</v>
      </c>
      <c r="C90" s="662" t="s">
        <v>320</v>
      </c>
      <c r="D90" s="662"/>
      <c r="E90" s="662"/>
      <c r="F90" s="662"/>
      <c r="G90" s="663"/>
    </row>
    <row r="91" spans="1:7" ht="14.45" customHeight="1" x14ac:dyDescent="0.25">
      <c r="B91" s="664" t="s">
        <v>321</v>
      </c>
      <c r="C91" s="662"/>
      <c r="D91" s="662"/>
      <c r="E91" s="662"/>
      <c r="F91" s="662"/>
      <c r="G91" s="663"/>
    </row>
    <row r="92" spans="1:7" x14ac:dyDescent="0.25">
      <c r="B92" s="664"/>
      <c r="C92" s="662"/>
      <c r="D92" s="662"/>
      <c r="E92" s="662"/>
      <c r="F92" s="662"/>
      <c r="G92" s="663"/>
    </row>
    <row r="93" spans="1:7" x14ac:dyDescent="0.25">
      <c r="B93" s="225" t="s">
        <v>8</v>
      </c>
      <c r="C93" s="59"/>
      <c r="D93" s="61"/>
      <c r="E93" s="60"/>
      <c r="F93" s="60"/>
      <c r="G93" s="227"/>
    </row>
    <row r="95" spans="1:7" x14ac:dyDescent="0.25">
      <c r="A95">
        <v>2</v>
      </c>
      <c r="B95" s="380" t="s">
        <v>196</v>
      </c>
      <c r="C95" s="55"/>
      <c r="D95" s="46" t="s">
        <v>203</v>
      </c>
      <c r="E95" s="52" t="s">
        <v>286</v>
      </c>
      <c r="F95" s="52" t="s">
        <v>286</v>
      </c>
      <c r="G95" s="52" t="s">
        <v>286</v>
      </c>
    </row>
    <row r="96" spans="1:7" x14ac:dyDescent="0.25">
      <c r="B96" s="49" t="s">
        <v>278</v>
      </c>
      <c r="C96" s="634" t="s">
        <v>322</v>
      </c>
      <c r="D96" s="634"/>
      <c r="E96" s="634"/>
      <c r="F96" s="634"/>
      <c r="G96" s="635"/>
    </row>
    <row r="97" spans="1:7" x14ac:dyDescent="0.25">
      <c r="B97" s="49"/>
      <c r="C97" s="636"/>
      <c r="D97" s="636"/>
      <c r="E97" s="636"/>
      <c r="F97" s="636"/>
      <c r="G97" s="637"/>
    </row>
    <row r="98" spans="1:7" x14ac:dyDescent="0.25">
      <c r="B98" s="62"/>
      <c r="C98" s="636"/>
      <c r="D98" s="636"/>
      <c r="E98" s="636"/>
      <c r="F98" s="636"/>
      <c r="G98" s="637"/>
    </row>
    <row r="99" spans="1:7" x14ac:dyDescent="0.25">
      <c r="B99" s="50" t="s">
        <v>8</v>
      </c>
      <c r="C99" s="638"/>
      <c r="D99" s="638"/>
      <c r="E99" s="638"/>
      <c r="F99" s="638"/>
      <c r="G99" s="639"/>
    </row>
    <row r="100" spans="1:7" x14ac:dyDescent="0.25">
      <c r="B100" s="110"/>
    </row>
    <row r="101" spans="1:7" ht="23.25" x14ac:dyDescent="0.25">
      <c r="B101" s="192" t="s">
        <v>197</v>
      </c>
      <c r="C101" s="43"/>
      <c r="D101" s="43"/>
      <c r="E101" s="221"/>
      <c r="F101" s="221"/>
      <c r="G101" s="43"/>
    </row>
    <row r="103" spans="1:7" x14ac:dyDescent="0.25">
      <c r="A103">
        <v>3</v>
      </c>
      <c r="B103" s="153" t="s">
        <v>198</v>
      </c>
      <c r="C103" s="104"/>
      <c r="D103" s="70" t="s">
        <v>323</v>
      </c>
      <c r="E103" s="251">
        <f>E105</f>
        <v>2142</v>
      </c>
      <c r="F103" s="71">
        <f>F106</f>
        <v>1884</v>
      </c>
      <c r="G103" s="252">
        <f>E103-F103</f>
        <v>258</v>
      </c>
    </row>
    <row r="104" spans="1:7" x14ac:dyDescent="0.25">
      <c r="B104" s="24" t="s">
        <v>278</v>
      </c>
      <c r="C104" s="646" t="s">
        <v>324</v>
      </c>
      <c r="D104" s="72"/>
      <c r="E104" s="254"/>
      <c r="F104" s="73"/>
      <c r="G104" s="255"/>
    </row>
    <row r="105" spans="1:7" x14ac:dyDescent="0.25">
      <c r="B105" s="24" t="s">
        <v>325</v>
      </c>
      <c r="C105" s="646"/>
      <c r="D105" s="72" t="s">
        <v>326</v>
      </c>
      <c r="E105" s="257">
        <v>2142</v>
      </c>
      <c r="F105" s="73"/>
      <c r="G105" s="255"/>
    </row>
    <row r="106" spans="1:7" x14ac:dyDescent="0.25">
      <c r="B106" s="256"/>
      <c r="C106" s="646"/>
      <c r="D106" s="72" t="s">
        <v>327</v>
      </c>
      <c r="E106" s="254"/>
      <c r="F106" s="677">
        <v>1884</v>
      </c>
      <c r="G106" s="255"/>
    </row>
    <row r="107" spans="1:7" x14ac:dyDescent="0.25">
      <c r="B107" s="81" t="s">
        <v>8</v>
      </c>
      <c r="C107" s="676"/>
      <c r="D107" s="25"/>
      <c r="E107" s="259"/>
      <c r="F107" s="79"/>
      <c r="G107" s="107"/>
    </row>
    <row r="109" spans="1:7" x14ac:dyDescent="0.25">
      <c r="A109">
        <v>3</v>
      </c>
      <c r="B109" s="80" t="s">
        <v>200</v>
      </c>
      <c r="C109" s="70"/>
      <c r="D109" s="70" t="s">
        <v>328</v>
      </c>
      <c r="E109" s="71">
        <f>E111</f>
        <v>10</v>
      </c>
      <c r="F109" s="71">
        <f>F112</f>
        <v>317</v>
      </c>
      <c r="G109" s="70"/>
    </row>
    <row r="110" spans="1:7" x14ac:dyDescent="0.25">
      <c r="B110" s="24" t="s">
        <v>278</v>
      </c>
      <c r="C110" s="671"/>
      <c r="D110" s="72"/>
      <c r="E110" s="73"/>
      <c r="F110" s="73"/>
      <c r="G110" s="72"/>
    </row>
    <row r="111" spans="1:7" x14ac:dyDescent="0.25">
      <c r="B111" s="24" t="s">
        <v>329</v>
      </c>
      <c r="C111" s="671" t="s">
        <v>330</v>
      </c>
      <c r="D111" s="72" t="s">
        <v>331</v>
      </c>
      <c r="E111" s="73">
        <v>10</v>
      </c>
      <c r="F111" s="73"/>
      <c r="G111" s="72"/>
    </row>
    <row r="112" spans="1:7" x14ac:dyDescent="0.25">
      <c r="B112" s="256"/>
      <c r="C112" s="671" t="s">
        <v>332</v>
      </c>
      <c r="D112" s="76"/>
      <c r="E112" s="73"/>
      <c r="F112" s="73">
        <v>317</v>
      </c>
      <c r="G112" s="72"/>
    </row>
    <row r="113" spans="1:7" x14ac:dyDescent="0.25">
      <c r="B113" s="81" t="s">
        <v>8</v>
      </c>
      <c r="C113" s="672"/>
      <c r="D113" s="25"/>
      <c r="E113" s="79"/>
      <c r="F113" s="79"/>
      <c r="G113" s="25"/>
    </row>
    <row r="115" spans="1:7" x14ac:dyDescent="0.25">
      <c r="A115">
        <v>2</v>
      </c>
      <c r="B115" s="153" t="s">
        <v>202</v>
      </c>
      <c r="C115" s="153"/>
      <c r="D115" s="69" t="s">
        <v>203</v>
      </c>
      <c r="E115" s="251"/>
      <c r="F115" s="251">
        <v>10</v>
      </c>
      <c r="G115" s="266">
        <f>E115-F115</f>
        <v>-10</v>
      </c>
    </row>
    <row r="116" spans="1:7" x14ac:dyDescent="0.25">
      <c r="B116" s="24" t="s">
        <v>278</v>
      </c>
      <c r="C116" s="673" t="s">
        <v>333</v>
      </c>
      <c r="D116" s="253"/>
      <c r="E116" s="254"/>
      <c r="F116" s="254"/>
      <c r="G116" s="255"/>
    </row>
    <row r="117" spans="1:7" x14ac:dyDescent="0.25">
      <c r="B117" s="24" t="s">
        <v>334</v>
      </c>
      <c r="C117" s="673" t="s">
        <v>335</v>
      </c>
      <c r="D117" s="264">
        <v>160</v>
      </c>
      <c r="E117" s="254"/>
      <c r="F117" s="254"/>
      <c r="G117" s="255"/>
    </row>
    <row r="118" spans="1:7" x14ac:dyDescent="0.25">
      <c r="B118" s="24" t="s">
        <v>336</v>
      </c>
      <c r="C118" s="674" t="s">
        <v>337</v>
      </c>
      <c r="D118" s="257">
        <v>125</v>
      </c>
      <c r="E118" s="254"/>
      <c r="F118" s="265"/>
      <c r="G118" s="255"/>
    </row>
    <row r="119" spans="1:7" x14ac:dyDescent="0.25">
      <c r="B119" s="256"/>
      <c r="C119" s="674" t="s">
        <v>338</v>
      </c>
      <c r="D119" s="257"/>
      <c r="E119" s="254"/>
      <c r="F119" s="265"/>
      <c r="G119" s="255"/>
    </row>
    <row r="120" spans="1:7" ht="27" customHeight="1" x14ac:dyDescent="0.25">
      <c r="B120" s="268"/>
      <c r="C120" s="646" t="s">
        <v>339</v>
      </c>
      <c r="D120" s="621"/>
      <c r="E120" s="621"/>
      <c r="F120" s="621"/>
      <c r="G120" s="622"/>
    </row>
    <row r="121" spans="1:7" x14ac:dyDescent="0.25">
      <c r="B121" s="81" t="s">
        <v>8</v>
      </c>
      <c r="C121" s="675"/>
      <c r="D121" s="258"/>
      <c r="E121" s="259"/>
      <c r="F121" s="267"/>
      <c r="G121" s="107"/>
    </row>
    <row r="122" spans="1:7" x14ac:dyDescent="0.25">
      <c r="C122" s="263"/>
    </row>
    <row r="123" spans="1:7" x14ac:dyDescent="0.25">
      <c r="A123">
        <v>1</v>
      </c>
      <c r="B123" s="382" t="s">
        <v>204</v>
      </c>
      <c r="C123" s="510"/>
      <c r="D123" s="99" t="s">
        <v>203</v>
      </c>
      <c r="E123" s="396" t="s">
        <v>340</v>
      </c>
      <c r="F123" s="396" t="s">
        <v>286</v>
      </c>
      <c r="G123" s="396" t="s">
        <v>286</v>
      </c>
    </row>
    <row r="124" spans="1:7" ht="43.5" customHeight="1" x14ac:dyDescent="0.25">
      <c r="B124" s="72" t="s">
        <v>278</v>
      </c>
      <c r="C124" s="646" t="s">
        <v>341</v>
      </c>
      <c r="D124" s="621"/>
      <c r="E124" s="621"/>
      <c r="F124" s="621"/>
      <c r="G124" s="622"/>
    </row>
    <row r="125" spans="1:7" ht="43.5" customHeight="1" x14ac:dyDescent="0.25">
      <c r="B125" s="72" t="s">
        <v>342</v>
      </c>
      <c r="C125" s="646"/>
      <c r="D125" s="621"/>
      <c r="E125" s="621"/>
      <c r="F125" s="621"/>
      <c r="G125" s="622"/>
    </row>
    <row r="126" spans="1:7" ht="43.5" customHeight="1" x14ac:dyDescent="0.25">
      <c r="B126" s="74"/>
      <c r="C126" s="646"/>
      <c r="D126" s="621"/>
      <c r="E126" s="621"/>
      <c r="F126" s="621"/>
      <c r="G126" s="622"/>
    </row>
    <row r="127" spans="1:7" ht="43.5" customHeight="1" x14ac:dyDescent="0.25">
      <c r="B127" s="77" t="s">
        <v>8</v>
      </c>
      <c r="C127" s="647"/>
      <c r="D127" s="623"/>
      <c r="E127" s="623"/>
      <c r="F127" s="623"/>
      <c r="G127" s="624"/>
    </row>
    <row r="129" spans="1:7" ht="15" hidden="1" customHeight="1" x14ac:dyDescent="0.25">
      <c r="A129">
        <v>1</v>
      </c>
      <c r="B129" s="68" t="s">
        <v>343</v>
      </c>
      <c r="C129" s="69"/>
      <c r="D129" s="70"/>
      <c r="E129" s="71"/>
      <c r="F129" s="71"/>
      <c r="G129" s="70"/>
    </row>
    <row r="130" spans="1:7" ht="15" hidden="1" customHeight="1" x14ac:dyDescent="0.25">
      <c r="B130" s="72" t="s">
        <v>278</v>
      </c>
      <c r="C130" s="621"/>
      <c r="D130" s="72"/>
      <c r="E130" s="73"/>
      <c r="F130" s="73"/>
      <c r="G130" s="72"/>
    </row>
    <row r="131" spans="1:7" ht="15" hidden="1" customHeight="1" x14ac:dyDescent="0.25">
      <c r="B131" s="72"/>
      <c r="C131" s="621"/>
      <c r="D131" s="72"/>
      <c r="E131" s="73"/>
      <c r="F131" s="73"/>
      <c r="G131" s="72"/>
    </row>
    <row r="132" spans="1:7" ht="15" hidden="1" customHeight="1" x14ac:dyDescent="0.25">
      <c r="B132" s="74"/>
      <c r="C132" s="75"/>
      <c r="D132" s="76"/>
      <c r="E132" s="73"/>
      <c r="F132" s="73"/>
      <c r="G132" s="72"/>
    </row>
    <row r="133" spans="1:7" ht="15" hidden="1" customHeight="1" x14ac:dyDescent="0.25">
      <c r="B133" s="77" t="s">
        <v>8</v>
      </c>
      <c r="C133" s="78"/>
      <c r="D133" s="25"/>
      <c r="E133" s="79"/>
      <c r="F133" s="79"/>
      <c r="G133" s="25"/>
    </row>
    <row r="134" spans="1:7" ht="15" hidden="1" customHeight="1" x14ac:dyDescent="0.25"/>
    <row r="135" spans="1:7" x14ac:dyDescent="0.25">
      <c r="A135">
        <v>3</v>
      </c>
      <c r="B135" s="80" t="s">
        <v>205</v>
      </c>
      <c r="C135" s="509"/>
      <c r="D135" s="99"/>
      <c r="E135" s="99" t="s">
        <v>286</v>
      </c>
      <c r="F135" s="99" t="s">
        <v>286</v>
      </c>
      <c r="G135" s="99" t="s">
        <v>286</v>
      </c>
    </row>
    <row r="136" spans="1:7" x14ac:dyDescent="0.25">
      <c r="B136" s="24" t="s">
        <v>278</v>
      </c>
      <c r="C136" s="646" t="s">
        <v>344</v>
      </c>
      <c r="D136" s="621"/>
      <c r="E136" s="621"/>
      <c r="F136" s="621"/>
      <c r="G136" s="622"/>
    </row>
    <row r="137" spans="1:7" x14ac:dyDescent="0.25">
      <c r="B137" s="24" t="s">
        <v>345</v>
      </c>
      <c r="C137" s="646"/>
      <c r="D137" s="621"/>
      <c r="E137" s="621"/>
      <c r="F137" s="621"/>
      <c r="G137" s="622"/>
    </row>
    <row r="138" spans="1:7" x14ac:dyDescent="0.25">
      <c r="B138" s="24" t="s">
        <v>346</v>
      </c>
      <c r="C138" s="646"/>
      <c r="D138" s="621"/>
      <c r="E138" s="621"/>
      <c r="F138" s="621"/>
      <c r="G138" s="622"/>
    </row>
    <row r="139" spans="1:7" x14ac:dyDescent="0.25">
      <c r="B139" s="81" t="s">
        <v>8</v>
      </c>
      <c r="C139" s="647"/>
      <c r="D139" s="623"/>
      <c r="E139" s="623"/>
      <c r="F139" s="623"/>
      <c r="G139" s="624"/>
    </row>
    <row r="141" spans="1:7" x14ac:dyDescent="0.25">
      <c r="A141">
        <v>2</v>
      </c>
      <c r="B141" s="82" t="s">
        <v>206</v>
      </c>
      <c r="C141" s="310"/>
      <c r="D141" s="99" t="s">
        <v>203</v>
      </c>
      <c r="E141" s="341">
        <v>47.5</v>
      </c>
      <c r="F141" s="341">
        <v>120</v>
      </c>
      <c r="G141" s="341">
        <f>E141-F141</f>
        <v>-72.5</v>
      </c>
    </row>
    <row r="142" spans="1:7" ht="14.45" customHeight="1" x14ac:dyDescent="0.25">
      <c r="B142" s="72" t="s">
        <v>278</v>
      </c>
      <c r="C142" s="621" t="s">
        <v>347</v>
      </c>
      <c r="D142" s="621"/>
      <c r="E142" s="621"/>
      <c r="F142" s="621"/>
      <c r="G142" s="622"/>
    </row>
    <row r="143" spans="1:7" x14ac:dyDescent="0.25">
      <c r="B143" s="72" t="s">
        <v>348</v>
      </c>
      <c r="C143" s="621"/>
      <c r="D143" s="621"/>
      <c r="E143" s="621"/>
      <c r="F143" s="621"/>
      <c r="G143" s="622"/>
    </row>
    <row r="144" spans="1:7" x14ac:dyDescent="0.25">
      <c r="B144" s="74" t="s">
        <v>468</v>
      </c>
      <c r="C144" s="621"/>
      <c r="D144" s="621"/>
      <c r="E144" s="621"/>
      <c r="F144" s="621"/>
      <c r="G144" s="622"/>
    </row>
    <row r="145" spans="1:7" x14ac:dyDescent="0.25">
      <c r="B145" s="77" t="s">
        <v>8</v>
      </c>
      <c r="C145" s="623"/>
      <c r="D145" s="623"/>
      <c r="E145" s="623"/>
      <c r="F145" s="623"/>
      <c r="G145" s="624"/>
    </row>
    <row r="147" spans="1:7" x14ac:dyDescent="0.25">
      <c r="A147">
        <v>3</v>
      </c>
      <c r="B147" s="82" t="s">
        <v>207</v>
      </c>
      <c r="C147" s="69"/>
      <c r="D147" s="104" t="s">
        <v>203</v>
      </c>
      <c r="E147" s="343">
        <v>0</v>
      </c>
      <c r="F147" s="342">
        <f>F151</f>
        <v>-53</v>
      </c>
      <c r="G147" s="344">
        <f>F147</f>
        <v>-53</v>
      </c>
    </row>
    <row r="148" spans="1:7" x14ac:dyDescent="0.25">
      <c r="B148" s="72" t="s">
        <v>278</v>
      </c>
      <c r="C148" s="75" t="s">
        <v>207</v>
      </c>
      <c r="D148" s="72" t="s">
        <v>28</v>
      </c>
      <c r="E148" s="73"/>
      <c r="F148" s="73">
        <v>167</v>
      </c>
      <c r="G148" s="72"/>
    </row>
    <row r="149" spans="1:7" x14ac:dyDescent="0.25">
      <c r="B149" s="72" t="s">
        <v>293</v>
      </c>
      <c r="C149" s="75" t="s">
        <v>349</v>
      </c>
      <c r="D149" s="72" t="s">
        <v>28</v>
      </c>
      <c r="E149" s="73"/>
      <c r="F149" s="73">
        <v>114</v>
      </c>
      <c r="G149" s="72"/>
    </row>
    <row r="150" spans="1:7" x14ac:dyDescent="0.25">
      <c r="B150" s="74"/>
      <c r="C150" s="75"/>
      <c r="D150" s="76"/>
      <c r="E150" s="73"/>
      <c r="F150" s="73"/>
      <c r="G150" s="72"/>
    </row>
    <row r="151" spans="1:7" x14ac:dyDescent="0.25">
      <c r="B151" s="77" t="s">
        <v>8</v>
      </c>
      <c r="C151" s="78" t="s">
        <v>350</v>
      </c>
      <c r="D151" s="25"/>
      <c r="E151" s="79"/>
      <c r="F151" s="79">
        <f>F149- F148</f>
        <v>-53</v>
      </c>
      <c r="G151" s="85">
        <f>F151</f>
        <v>-53</v>
      </c>
    </row>
    <row r="153" spans="1:7" ht="21.6" customHeight="1" x14ac:dyDescent="0.25">
      <c r="A153">
        <v>3</v>
      </c>
      <c r="B153" s="83" t="s">
        <v>208</v>
      </c>
      <c r="C153" s="345"/>
      <c r="D153" s="345" t="s">
        <v>203</v>
      </c>
      <c r="E153" s="346">
        <v>0</v>
      </c>
      <c r="F153" s="347">
        <v>0</v>
      </c>
      <c r="G153" s="348">
        <v>0</v>
      </c>
    </row>
    <row r="154" spans="1:7" ht="29.45" customHeight="1" x14ac:dyDescent="0.25">
      <c r="B154" s="84" t="s">
        <v>278</v>
      </c>
      <c r="C154" s="660" t="s">
        <v>351</v>
      </c>
      <c r="D154" s="655"/>
      <c r="E154" s="655"/>
      <c r="F154" s="655"/>
      <c r="G154" s="656"/>
    </row>
    <row r="155" spans="1:7" ht="29.45" customHeight="1" x14ac:dyDescent="0.25">
      <c r="B155" s="84" t="s">
        <v>352</v>
      </c>
      <c r="C155" s="660"/>
      <c r="D155" s="655"/>
      <c r="E155" s="655"/>
      <c r="F155" s="655"/>
      <c r="G155" s="656"/>
    </row>
    <row r="156" spans="1:7" ht="29.45" customHeight="1" x14ac:dyDescent="0.25">
      <c r="B156" s="84"/>
      <c r="C156" s="660"/>
      <c r="D156" s="655"/>
      <c r="E156" s="655"/>
      <c r="F156" s="655"/>
      <c r="G156" s="656"/>
    </row>
    <row r="157" spans="1:7" ht="52.5" customHeight="1" x14ac:dyDescent="0.25">
      <c r="B157" s="77" t="s">
        <v>8</v>
      </c>
      <c r="C157" s="661"/>
      <c r="D157" s="657"/>
      <c r="E157" s="657"/>
      <c r="F157" s="657"/>
      <c r="G157" s="658"/>
    </row>
    <row r="159" spans="1:7" x14ac:dyDescent="0.25">
      <c r="A159">
        <v>3</v>
      </c>
      <c r="B159" s="82" t="s">
        <v>212</v>
      </c>
      <c r="C159" s="310"/>
      <c r="D159" s="99" t="s">
        <v>353</v>
      </c>
      <c r="E159" s="396">
        <v>0</v>
      </c>
      <c r="F159" s="511">
        <v>0.59599999999999997</v>
      </c>
      <c r="G159" s="512">
        <f>E159-F159</f>
        <v>-0.59599999999999997</v>
      </c>
    </row>
    <row r="160" spans="1:7" x14ac:dyDescent="0.25">
      <c r="B160" s="72" t="s">
        <v>278</v>
      </c>
      <c r="C160" s="659" t="s">
        <v>354</v>
      </c>
      <c r="D160" s="619"/>
      <c r="E160" s="619"/>
      <c r="F160" s="619"/>
      <c r="G160" s="620"/>
    </row>
    <row r="161" spans="1:7" x14ac:dyDescent="0.25">
      <c r="B161" s="72" t="s">
        <v>355</v>
      </c>
      <c r="C161" s="646"/>
      <c r="D161" s="621"/>
      <c r="E161" s="621"/>
      <c r="F161" s="621"/>
      <c r="G161" s="622"/>
    </row>
    <row r="162" spans="1:7" x14ac:dyDescent="0.25">
      <c r="B162" s="74"/>
      <c r="C162" s="646"/>
      <c r="D162" s="621"/>
      <c r="E162" s="621"/>
      <c r="F162" s="621"/>
      <c r="G162" s="622"/>
    </row>
    <row r="163" spans="1:7" x14ac:dyDescent="0.25">
      <c r="B163" s="77" t="s">
        <v>8</v>
      </c>
      <c r="C163" s="647"/>
      <c r="D163" s="623"/>
      <c r="E163" s="623"/>
      <c r="F163" s="623"/>
      <c r="G163" s="624"/>
    </row>
    <row r="165" spans="1:7" x14ac:dyDescent="0.25">
      <c r="A165">
        <v>2</v>
      </c>
      <c r="B165" s="82" t="s">
        <v>210</v>
      </c>
      <c r="C165" s="69"/>
      <c r="D165" s="70" t="s">
        <v>203</v>
      </c>
      <c r="E165" s="71" t="s">
        <v>286</v>
      </c>
      <c r="F165" s="71">
        <v>20</v>
      </c>
      <c r="G165" s="70">
        <v>-20</v>
      </c>
    </row>
    <row r="166" spans="1:7" ht="28.9" customHeight="1" x14ac:dyDescent="0.25">
      <c r="B166" s="72" t="s">
        <v>278</v>
      </c>
      <c r="C166" s="619" t="s">
        <v>356</v>
      </c>
      <c r="D166" s="619"/>
      <c r="E166" s="619"/>
      <c r="F166" s="619"/>
      <c r="G166" s="620"/>
    </row>
    <row r="167" spans="1:7" ht="28.9" customHeight="1" x14ac:dyDescent="0.25">
      <c r="B167" s="72" t="s">
        <v>357</v>
      </c>
      <c r="C167" s="621"/>
      <c r="D167" s="621"/>
      <c r="E167" s="621"/>
      <c r="F167" s="621"/>
      <c r="G167" s="622"/>
    </row>
    <row r="168" spans="1:7" ht="28.9" customHeight="1" x14ac:dyDescent="0.25">
      <c r="B168" s="74"/>
      <c r="C168" s="621"/>
      <c r="D168" s="621"/>
      <c r="E168" s="621"/>
      <c r="F168" s="621"/>
      <c r="G168" s="622"/>
    </row>
    <row r="169" spans="1:7" ht="28.9" customHeight="1" x14ac:dyDescent="0.25">
      <c r="B169" s="77" t="s">
        <v>8</v>
      </c>
      <c r="C169" s="623"/>
      <c r="D169" s="623"/>
      <c r="E169" s="623"/>
      <c r="F169" s="623"/>
      <c r="G169" s="624"/>
    </row>
    <row r="171" spans="1:7" x14ac:dyDescent="0.25">
      <c r="A171">
        <v>3</v>
      </c>
      <c r="B171" s="82" t="s">
        <v>211</v>
      </c>
      <c r="C171" s="69"/>
      <c r="D171" s="70" t="s">
        <v>203</v>
      </c>
      <c r="E171" s="71"/>
      <c r="F171" s="71"/>
      <c r="G171" s="70"/>
    </row>
    <row r="172" spans="1:7" x14ac:dyDescent="0.25">
      <c r="B172" s="72" t="s">
        <v>301</v>
      </c>
      <c r="C172" s="75" t="str">
        <f t="shared" ref="C172:G175" si="1">C334</f>
        <v>Luzerne</v>
      </c>
      <c r="D172" s="73">
        <f t="shared" si="1"/>
        <v>0</v>
      </c>
      <c r="E172" s="73">
        <f t="shared" si="1"/>
        <v>1401</v>
      </c>
      <c r="F172" s="73">
        <f t="shared" si="1"/>
        <v>1310</v>
      </c>
      <c r="G172" s="73">
        <f t="shared" si="1"/>
        <v>91</v>
      </c>
    </row>
    <row r="173" spans="1:7" x14ac:dyDescent="0.25">
      <c r="B173" s="558" t="s">
        <v>466</v>
      </c>
      <c r="C173" s="75" t="s">
        <v>92</v>
      </c>
      <c r="D173" s="73">
        <f t="shared" si="1"/>
        <v>0</v>
      </c>
      <c r="E173" s="73">
        <f t="shared" si="1"/>
        <v>961</v>
      </c>
      <c r="F173" s="73">
        <f t="shared" si="1"/>
        <v>1600</v>
      </c>
      <c r="G173" s="73">
        <f t="shared" si="1"/>
        <v>-639</v>
      </c>
    </row>
    <row r="174" spans="1:7" x14ac:dyDescent="0.25">
      <c r="B174" s="72" t="s">
        <v>303</v>
      </c>
      <c r="C174" s="75" t="str">
        <f t="shared" si="1"/>
        <v>Sojabonen</v>
      </c>
      <c r="D174" s="73">
        <f t="shared" si="1"/>
        <v>0</v>
      </c>
      <c r="E174" s="73">
        <f t="shared" si="1"/>
        <v>806</v>
      </c>
      <c r="F174" s="73">
        <f t="shared" si="1"/>
        <v>1200</v>
      </c>
      <c r="G174" s="73">
        <f t="shared" si="1"/>
        <v>-394</v>
      </c>
    </row>
    <row r="175" spans="1:7" x14ac:dyDescent="0.25">
      <c r="B175" s="72" t="s">
        <v>305</v>
      </c>
      <c r="C175" s="75" t="str">
        <f t="shared" si="1"/>
        <v>Lupine</v>
      </c>
      <c r="D175" s="73">
        <f t="shared" si="1"/>
        <v>0</v>
      </c>
      <c r="E175" s="73">
        <f t="shared" si="1"/>
        <v>697</v>
      </c>
      <c r="F175" s="73">
        <f t="shared" si="1"/>
        <v>871</v>
      </c>
      <c r="G175" s="73">
        <f t="shared" si="1"/>
        <v>-174</v>
      </c>
    </row>
    <row r="176" spans="1:7" x14ac:dyDescent="0.25">
      <c r="B176" s="77" t="s">
        <v>8</v>
      </c>
      <c r="C176" s="78"/>
      <c r="D176" s="25"/>
      <c r="E176" s="79"/>
      <c r="F176" s="79"/>
      <c r="G176" s="25"/>
    </row>
    <row r="178" spans="1:7" x14ac:dyDescent="0.25">
      <c r="A178">
        <v>2</v>
      </c>
      <c r="B178" s="513" t="s">
        <v>196</v>
      </c>
      <c r="C178" s="69"/>
      <c r="D178" s="70" t="s">
        <v>203</v>
      </c>
      <c r="E178" s="71" t="s">
        <v>286</v>
      </c>
      <c r="F178" s="71" t="s">
        <v>286</v>
      </c>
      <c r="G178" s="71" t="s">
        <v>286</v>
      </c>
    </row>
    <row r="179" spans="1:7" x14ac:dyDescent="0.25">
      <c r="B179" s="72" t="s">
        <v>278</v>
      </c>
      <c r="C179" s="619" t="s">
        <v>322</v>
      </c>
      <c r="D179" s="619"/>
      <c r="E179" s="619"/>
      <c r="F179" s="619"/>
      <c r="G179" s="620"/>
    </row>
    <row r="180" spans="1:7" x14ac:dyDescent="0.25">
      <c r="B180" s="72"/>
      <c r="C180" s="621"/>
      <c r="D180" s="621"/>
      <c r="E180" s="621"/>
      <c r="F180" s="621"/>
      <c r="G180" s="622"/>
    </row>
    <row r="181" spans="1:7" x14ac:dyDescent="0.25">
      <c r="B181" s="74"/>
      <c r="C181" s="621"/>
      <c r="D181" s="621"/>
      <c r="E181" s="621"/>
      <c r="F181" s="621"/>
      <c r="G181" s="622"/>
    </row>
    <row r="182" spans="1:7" ht="20.25" customHeight="1" x14ac:dyDescent="0.25">
      <c r="B182" s="77" t="s">
        <v>8</v>
      </c>
      <c r="C182" s="623"/>
      <c r="D182" s="623"/>
      <c r="E182" s="623"/>
      <c r="F182" s="623"/>
      <c r="G182" s="624"/>
    </row>
    <row r="184" spans="1:7" x14ac:dyDescent="0.25">
      <c r="A184">
        <v>2</v>
      </c>
      <c r="B184" s="82" t="s">
        <v>213</v>
      </c>
      <c r="C184" s="69"/>
      <c r="D184" s="70" t="s">
        <v>203</v>
      </c>
      <c r="E184" s="71">
        <f>E11</f>
        <v>0</v>
      </c>
      <c r="F184" s="71">
        <f>F11</f>
        <v>1400</v>
      </c>
      <c r="G184" s="71">
        <f>G11</f>
        <v>-1400</v>
      </c>
    </row>
    <row r="185" spans="1:7" x14ac:dyDescent="0.25">
      <c r="B185" s="72" t="str">
        <f>B12</f>
        <v>Bronvermelding:</v>
      </c>
      <c r="C185" s="622" t="str">
        <f>C12</f>
        <v xml:space="preserve"> Kosten voor GPS €10.000,- + €400,- per jaar</v>
      </c>
      <c r="D185" s="72" t="str">
        <f>D12</f>
        <v>GPS</v>
      </c>
      <c r="E185" s="73"/>
      <c r="F185" s="73">
        <f>F12</f>
        <v>10000</v>
      </c>
      <c r="G185" s="73"/>
    </row>
    <row r="186" spans="1:7" x14ac:dyDescent="0.25">
      <c r="B186" s="72" t="str">
        <f>B13</f>
        <v>(Karsten, 2020)</v>
      </c>
      <c r="C186" s="622"/>
      <c r="D186" s="72" t="str">
        <f>D13</f>
        <v>Abonnement</v>
      </c>
      <c r="E186" s="73"/>
      <c r="F186" s="73">
        <f>F13</f>
        <v>400</v>
      </c>
      <c r="G186" s="73"/>
    </row>
    <row r="187" spans="1:7" x14ac:dyDescent="0.25">
      <c r="B187" s="72" t="str">
        <f>B14</f>
        <v>(de Lijster, et al., Waarderen van bodemwatermaatregelen, 2016)</v>
      </c>
      <c r="C187" s="75" t="str">
        <f>C14</f>
        <v>Extra grasopbrengst</v>
      </c>
      <c r="D187" s="76"/>
      <c r="E187" s="73">
        <f>E14</f>
        <v>0</v>
      </c>
      <c r="F187" s="73"/>
      <c r="G187" s="73"/>
    </row>
    <row r="188" spans="1:7" x14ac:dyDescent="0.25">
      <c r="B188" s="77" t="str">
        <f>B15</f>
        <v>Totaal per jaar</v>
      </c>
      <c r="C188" s="78"/>
      <c r="D188" s="25"/>
      <c r="E188" s="79">
        <f>E15</f>
        <v>0</v>
      </c>
      <c r="F188" s="79">
        <f>F15</f>
        <v>1400</v>
      </c>
      <c r="G188" s="79">
        <f>G15</f>
        <v>-1400</v>
      </c>
    </row>
    <row r="190" spans="1:7" x14ac:dyDescent="0.25">
      <c r="A190">
        <v>2</v>
      </c>
      <c r="B190" s="82" t="s">
        <v>214</v>
      </c>
      <c r="C190" s="69"/>
      <c r="D190" s="70" t="s">
        <v>8</v>
      </c>
      <c r="E190" s="71" t="s">
        <v>286</v>
      </c>
      <c r="F190" s="71" t="s">
        <v>286</v>
      </c>
      <c r="G190" s="71" t="s">
        <v>286</v>
      </c>
    </row>
    <row r="191" spans="1:7" x14ac:dyDescent="0.25">
      <c r="B191" s="72" t="s">
        <v>278</v>
      </c>
      <c r="C191" s="659" t="s">
        <v>290</v>
      </c>
      <c r="D191" s="619"/>
      <c r="E191" s="619"/>
      <c r="F191" s="619"/>
      <c r="G191" s="620"/>
    </row>
    <row r="192" spans="1:7" x14ac:dyDescent="0.25">
      <c r="B192" s="72" t="s">
        <v>358</v>
      </c>
      <c r="C192" s="646"/>
      <c r="D192" s="621"/>
      <c r="E192" s="621"/>
      <c r="F192" s="621"/>
      <c r="G192" s="622"/>
    </row>
    <row r="193" spans="1:7" x14ac:dyDescent="0.25">
      <c r="B193" s="74"/>
      <c r="C193" s="646"/>
      <c r="D193" s="621"/>
      <c r="E193" s="621"/>
      <c r="F193" s="621"/>
      <c r="G193" s="622"/>
    </row>
    <row r="194" spans="1:7" x14ac:dyDescent="0.25">
      <c r="B194" s="77" t="s">
        <v>8</v>
      </c>
      <c r="C194" s="647"/>
      <c r="D194" s="623"/>
      <c r="E194" s="623"/>
      <c r="F194" s="623"/>
      <c r="G194" s="624"/>
    </row>
    <row r="196" spans="1:7" x14ac:dyDescent="0.25">
      <c r="A196">
        <v>2</v>
      </c>
      <c r="B196" s="82" t="s">
        <v>215</v>
      </c>
      <c r="C196" s="69"/>
      <c r="D196" s="69" t="s">
        <v>203</v>
      </c>
      <c r="E196" s="251">
        <v>0</v>
      </c>
      <c r="F196" s="251">
        <v>0</v>
      </c>
      <c r="G196" s="261">
        <v>0</v>
      </c>
    </row>
    <row r="197" spans="1:7" x14ac:dyDescent="0.25">
      <c r="B197" s="72" t="s">
        <v>278</v>
      </c>
      <c r="C197" s="655" t="s">
        <v>288</v>
      </c>
      <c r="D197" s="655"/>
      <c r="E197" s="655"/>
      <c r="F197" s="655"/>
      <c r="G197" s="656"/>
    </row>
    <row r="198" spans="1:7" x14ac:dyDescent="0.25">
      <c r="B198" s="72" t="s">
        <v>289</v>
      </c>
      <c r="C198" s="655"/>
      <c r="D198" s="655"/>
      <c r="E198" s="655"/>
      <c r="F198" s="655"/>
      <c r="G198" s="656"/>
    </row>
    <row r="199" spans="1:7" x14ac:dyDescent="0.25">
      <c r="B199" s="74"/>
      <c r="C199" s="655"/>
      <c r="D199" s="655"/>
      <c r="E199" s="655"/>
      <c r="F199" s="655"/>
      <c r="G199" s="656"/>
    </row>
    <row r="200" spans="1:7" x14ac:dyDescent="0.25">
      <c r="B200" s="77" t="s">
        <v>8</v>
      </c>
      <c r="C200" s="657"/>
      <c r="D200" s="657"/>
      <c r="E200" s="657"/>
      <c r="F200" s="657"/>
      <c r="G200" s="658"/>
    </row>
    <row r="202" spans="1:7" x14ac:dyDescent="0.25">
      <c r="A202">
        <v>3</v>
      </c>
      <c r="B202" s="82" t="s">
        <v>217</v>
      </c>
      <c r="C202" s="345"/>
      <c r="D202" s="345" t="s">
        <v>203</v>
      </c>
      <c r="E202" s="373">
        <v>0</v>
      </c>
      <c r="F202" s="374">
        <v>0</v>
      </c>
      <c r="G202" s="375">
        <v>0</v>
      </c>
    </row>
    <row r="203" spans="1:7" ht="31.15" customHeight="1" x14ac:dyDescent="0.25">
      <c r="B203" s="84" t="s">
        <v>278</v>
      </c>
      <c r="C203" s="660" t="s">
        <v>359</v>
      </c>
      <c r="D203" s="655"/>
      <c r="E203" s="655"/>
      <c r="F203" s="655"/>
      <c r="G203" s="656"/>
    </row>
    <row r="204" spans="1:7" ht="31.15" customHeight="1" x14ac:dyDescent="0.25">
      <c r="B204" s="72" t="s">
        <v>360</v>
      </c>
      <c r="C204" s="660"/>
      <c r="D204" s="655"/>
      <c r="E204" s="655"/>
      <c r="F204" s="655"/>
      <c r="G204" s="656"/>
    </row>
    <row r="205" spans="1:7" ht="31.15" customHeight="1" x14ac:dyDescent="0.25">
      <c r="B205" s="43"/>
      <c r="C205" s="660"/>
      <c r="D205" s="655"/>
      <c r="E205" s="655"/>
      <c r="F205" s="655"/>
      <c r="G205" s="656"/>
    </row>
    <row r="206" spans="1:7" ht="45.75" customHeight="1" x14ac:dyDescent="0.25">
      <c r="B206" s="77" t="s">
        <v>8</v>
      </c>
      <c r="C206" s="661"/>
      <c r="D206" s="657"/>
      <c r="E206" s="657"/>
      <c r="F206" s="657"/>
      <c r="G206" s="658"/>
    </row>
    <row r="208" spans="1:7" x14ac:dyDescent="0.25">
      <c r="A208">
        <v>3</v>
      </c>
      <c r="B208" s="83" t="s">
        <v>216</v>
      </c>
      <c r="C208" s="69"/>
      <c r="D208" s="70" t="s">
        <v>203</v>
      </c>
      <c r="E208" s="71">
        <v>0</v>
      </c>
      <c r="F208" s="71">
        <v>0</v>
      </c>
      <c r="G208" s="395">
        <f>E208-F208</f>
        <v>0</v>
      </c>
    </row>
    <row r="209" spans="1:7" x14ac:dyDescent="0.25">
      <c r="B209" s="72" t="s">
        <v>278</v>
      </c>
      <c r="C209" s="619" t="s">
        <v>469</v>
      </c>
      <c r="D209" s="619"/>
      <c r="E209" s="619"/>
      <c r="F209" s="619"/>
      <c r="G209" s="620"/>
    </row>
    <row r="210" spans="1:7" x14ac:dyDescent="0.25">
      <c r="B210" s="72" t="s">
        <v>289</v>
      </c>
      <c r="C210" s="621"/>
      <c r="D210" s="621"/>
      <c r="E210" s="621"/>
      <c r="F210" s="621"/>
      <c r="G210" s="622"/>
    </row>
    <row r="211" spans="1:7" x14ac:dyDescent="0.25">
      <c r="B211" s="72"/>
      <c r="C211" s="621"/>
      <c r="D211" s="621"/>
      <c r="E211" s="621"/>
      <c r="F211" s="621"/>
      <c r="G211" s="622"/>
    </row>
    <row r="212" spans="1:7" x14ac:dyDescent="0.25">
      <c r="B212" s="72" t="s">
        <v>8</v>
      </c>
      <c r="C212" s="623"/>
      <c r="D212" s="623"/>
      <c r="E212" s="623"/>
      <c r="F212" s="623"/>
      <c r="G212" s="624"/>
    </row>
    <row r="214" spans="1:7" x14ac:dyDescent="0.25">
      <c r="A214">
        <v>2</v>
      </c>
      <c r="B214" s="82" t="s">
        <v>218</v>
      </c>
      <c r="C214" s="99"/>
      <c r="D214" s="99"/>
      <c r="E214" s="396">
        <v>0</v>
      </c>
      <c r="F214" s="396">
        <v>0</v>
      </c>
      <c r="G214" s="514">
        <v>0</v>
      </c>
    </row>
    <row r="215" spans="1:7" ht="50.25" customHeight="1" x14ac:dyDescent="0.25">
      <c r="B215" s="72"/>
      <c r="C215" s="659" t="s">
        <v>361</v>
      </c>
      <c r="D215" s="619"/>
      <c r="E215" s="619"/>
      <c r="F215" s="619"/>
      <c r="G215" s="620"/>
    </row>
    <row r="216" spans="1:7" ht="15" customHeight="1" x14ac:dyDescent="0.25">
      <c r="B216" s="72"/>
      <c r="C216" s="646"/>
      <c r="D216" s="621"/>
      <c r="E216" s="621"/>
      <c r="F216" s="621"/>
      <c r="G216" s="622"/>
    </row>
    <row r="217" spans="1:7" x14ac:dyDescent="0.25">
      <c r="B217" s="74"/>
      <c r="C217" s="646"/>
      <c r="D217" s="621"/>
      <c r="E217" s="621"/>
      <c r="F217" s="621"/>
      <c r="G217" s="622"/>
    </row>
    <row r="218" spans="1:7" x14ac:dyDescent="0.25">
      <c r="B218" s="77" t="s">
        <v>8</v>
      </c>
      <c r="C218" s="647"/>
      <c r="D218" s="623"/>
      <c r="E218" s="623"/>
      <c r="F218" s="623"/>
      <c r="G218" s="624"/>
    </row>
    <row r="220" spans="1:7" x14ac:dyDescent="0.25">
      <c r="A220">
        <v>3</v>
      </c>
      <c r="B220" s="82" t="s">
        <v>219</v>
      </c>
      <c r="C220" s="69"/>
      <c r="D220" s="104" t="s">
        <v>362</v>
      </c>
      <c r="E220" s="350">
        <f>SUM(E221:E223)</f>
        <v>4.55</v>
      </c>
      <c r="F220" s="351">
        <f>SUM(F221:F223)</f>
        <v>6.35</v>
      </c>
      <c r="G220" s="352">
        <f>E220-F220</f>
        <v>-1.7999999999999998</v>
      </c>
    </row>
    <row r="221" spans="1:7" x14ac:dyDescent="0.25">
      <c r="B221" s="72" t="s">
        <v>278</v>
      </c>
      <c r="C221" s="75" t="s">
        <v>363</v>
      </c>
      <c r="D221" s="72" t="s">
        <v>331</v>
      </c>
      <c r="E221" s="349">
        <v>4.55</v>
      </c>
      <c r="F221" s="73"/>
      <c r="G221" s="72"/>
    </row>
    <row r="222" spans="1:7" x14ac:dyDescent="0.25">
      <c r="B222" s="72" t="s">
        <v>364</v>
      </c>
      <c r="C222" s="75" t="s">
        <v>365</v>
      </c>
      <c r="D222" s="72" t="s">
        <v>331</v>
      </c>
      <c r="E222" s="73"/>
      <c r="F222" s="349">
        <v>6.35</v>
      </c>
      <c r="G222" s="72"/>
    </row>
    <row r="223" spans="1:7" x14ac:dyDescent="0.25">
      <c r="B223" s="74"/>
      <c r="C223" s="75"/>
      <c r="D223" s="76"/>
      <c r="E223" s="73"/>
      <c r="F223" s="73"/>
      <c r="G223" s="72"/>
    </row>
    <row r="224" spans="1:7" x14ac:dyDescent="0.25">
      <c r="B224" s="77" t="s">
        <v>8</v>
      </c>
      <c r="C224" s="78"/>
      <c r="D224" s="25"/>
      <c r="E224" s="79"/>
      <c r="F224" s="79"/>
      <c r="G224" s="25"/>
    </row>
    <row r="226" spans="1:7" x14ac:dyDescent="0.25">
      <c r="A226">
        <v>3</v>
      </c>
      <c r="B226" s="100" t="s">
        <v>220</v>
      </c>
      <c r="C226" s="69"/>
      <c r="D226" s="70"/>
      <c r="E226" s="71" t="s">
        <v>366</v>
      </c>
      <c r="F226" s="71" t="s">
        <v>286</v>
      </c>
      <c r="G226" s="70" t="s">
        <v>286</v>
      </c>
    </row>
    <row r="227" spans="1:7" x14ac:dyDescent="0.25">
      <c r="B227" s="72"/>
      <c r="C227" s="621" t="s">
        <v>367</v>
      </c>
      <c r="D227" s="621"/>
      <c r="E227" s="621"/>
      <c r="F227" s="621"/>
      <c r="G227" s="621"/>
    </row>
    <row r="228" spans="1:7" x14ac:dyDescent="0.25">
      <c r="B228" s="72"/>
      <c r="C228" s="621"/>
      <c r="D228" s="621"/>
      <c r="E228" s="621"/>
      <c r="F228" s="621"/>
      <c r="G228" s="621"/>
    </row>
    <row r="229" spans="1:7" x14ac:dyDescent="0.25">
      <c r="B229" s="74"/>
      <c r="C229" s="621"/>
      <c r="D229" s="621"/>
      <c r="E229" s="621"/>
      <c r="F229" s="621"/>
      <c r="G229" s="621"/>
    </row>
    <row r="230" spans="1:7" x14ac:dyDescent="0.25">
      <c r="B230" s="77" t="s">
        <v>8</v>
      </c>
      <c r="C230" s="623"/>
      <c r="D230" s="623"/>
      <c r="E230" s="623"/>
      <c r="F230" s="623"/>
      <c r="G230" s="623"/>
    </row>
    <row r="232" spans="1:7" ht="23.25" x14ac:dyDescent="0.35">
      <c r="B232" s="190" t="s">
        <v>221</v>
      </c>
      <c r="C232" s="33"/>
      <c r="D232" s="33"/>
      <c r="E232" s="97"/>
      <c r="F232" s="97"/>
      <c r="G232" s="33"/>
    </row>
    <row r="234" spans="1:7" x14ac:dyDescent="0.25">
      <c r="A234">
        <v>3</v>
      </c>
      <c r="B234" s="96" t="s">
        <v>222</v>
      </c>
      <c r="C234" s="86"/>
      <c r="D234" s="87" t="s">
        <v>362</v>
      </c>
      <c r="E234" s="88">
        <v>0</v>
      </c>
      <c r="F234" s="88">
        <v>6</v>
      </c>
      <c r="G234" s="354">
        <f>E234-F234</f>
        <v>-6</v>
      </c>
    </row>
    <row r="235" spans="1:7" ht="14.45" customHeight="1" x14ac:dyDescent="0.25">
      <c r="B235" s="32" t="s">
        <v>278</v>
      </c>
      <c r="C235" s="643" t="s">
        <v>368</v>
      </c>
      <c r="D235" s="613"/>
      <c r="E235" s="613"/>
      <c r="F235" s="613"/>
      <c r="G235" s="614"/>
    </row>
    <row r="236" spans="1:7" x14ac:dyDescent="0.25">
      <c r="B236" s="32" t="s">
        <v>369</v>
      </c>
      <c r="C236" s="644"/>
      <c r="D236" s="615"/>
      <c r="E236" s="615"/>
      <c r="F236" s="615"/>
      <c r="G236" s="616"/>
    </row>
    <row r="237" spans="1:7" x14ac:dyDescent="0.25">
      <c r="B237" s="90"/>
      <c r="C237" s="644"/>
      <c r="D237" s="615"/>
      <c r="E237" s="615"/>
      <c r="F237" s="615"/>
      <c r="G237" s="616"/>
    </row>
    <row r="238" spans="1:7" x14ac:dyDescent="0.25">
      <c r="B238" s="93" t="s">
        <v>8</v>
      </c>
      <c r="C238" s="645"/>
      <c r="D238" s="617"/>
      <c r="E238" s="617"/>
      <c r="F238" s="617"/>
      <c r="G238" s="618"/>
    </row>
    <row r="240" spans="1:7" x14ac:dyDescent="0.25">
      <c r="A240">
        <v>2</v>
      </c>
      <c r="B240" s="366" t="s">
        <v>223</v>
      </c>
      <c r="C240" s="86"/>
      <c r="D240" s="87" t="s">
        <v>8</v>
      </c>
      <c r="E240" s="88" t="s">
        <v>286</v>
      </c>
      <c r="F240" s="88" t="s">
        <v>286</v>
      </c>
      <c r="G240" s="88" t="s">
        <v>286</v>
      </c>
    </row>
    <row r="241" spans="1:7" ht="19.149999999999999" customHeight="1" x14ac:dyDescent="0.25">
      <c r="B241" s="32" t="s">
        <v>278</v>
      </c>
      <c r="C241" s="613" t="s">
        <v>370</v>
      </c>
      <c r="D241" s="613"/>
      <c r="E241" s="613"/>
      <c r="F241" s="613"/>
      <c r="G241" s="614"/>
    </row>
    <row r="242" spans="1:7" ht="19.149999999999999" customHeight="1" x14ac:dyDescent="0.25">
      <c r="B242" s="508" t="s">
        <v>371</v>
      </c>
      <c r="C242" s="615"/>
      <c r="D242" s="615"/>
      <c r="E242" s="615"/>
      <c r="F242" s="615"/>
      <c r="G242" s="616"/>
    </row>
    <row r="243" spans="1:7" ht="19.149999999999999" customHeight="1" x14ac:dyDescent="0.25">
      <c r="B243" s="90"/>
      <c r="C243" s="615"/>
      <c r="D243" s="615"/>
      <c r="E243" s="615"/>
      <c r="F243" s="615"/>
      <c r="G243" s="616"/>
    </row>
    <row r="244" spans="1:7" ht="19.149999999999999" customHeight="1" x14ac:dyDescent="0.25">
      <c r="B244" s="93" t="s">
        <v>8</v>
      </c>
      <c r="C244" s="617"/>
      <c r="D244" s="617"/>
      <c r="E244" s="617"/>
      <c r="F244" s="617"/>
      <c r="G244" s="618"/>
    </row>
    <row r="246" spans="1:7" x14ac:dyDescent="0.25">
      <c r="A246">
        <v>3</v>
      </c>
      <c r="B246" s="385" t="s">
        <v>224</v>
      </c>
      <c r="C246" s="86"/>
      <c r="D246" s="355" t="s">
        <v>203</v>
      </c>
      <c r="E246" s="356">
        <f>SUM(E247:E249)</f>
        <v>135.5</v>
      </c>
      <c r="F246" s="357">
        <f>SUM(F247:F249)</f>
        <v>78</v>
      </c>
      <c r="G246" s="358">
        <f>E246-F246</f>
        <v>57.5</v>
      </c>
    </row>
    <row r="247" spans="1:7" x14ac:dyDescent="0.25">
      <c r="B247" s="32" t="s">
        <v>278</v>
      </c>
      <c r="C247" s="353" t="s">
        <v>372</v>
      </c>
      <c r="D247" s="32"/>
      <c r="E247" s="235">
        <v>115</v>
      </c>
      <c r="F247" s="361"/>
      <c r="G247" s="362"/>
    </row>
    <row r="248" spans="1:7" x14ac:dyDescent="0.25">
      <c r="B248" s="32" t="s">
        <v>373</v>
      </c>
      <c r="C248" s="353" t="s">
        <v>374</v>
      </c>
      <c r="D248" s="32"/>
      <c r="E248" s="359"/>
      <c r="F248" s="89">
        <v>78</v>
      </c>
      <c r="G248" s="239"/>
    </row>
    <row r="249" spans="1:7" x14ac:dyDescent="0.25">
      <c r="B249" s="90"/>
      <c r="C249" s="91" t="s">
        <v>375</v>
      </c>
      <c r="D249" s="92"/>
      <c r="E249" s="359">
        <v>20.5</v>
      </c>
      <c r="F249" s="89"/>
      <c r="G249" s="239"/>
    </row>
    <row r="250" spans="1:7" x14ac:dyDescent="0.25">
      <c r="B250" s="93" t="s">
        <v>8</v>
      </c>
      <c r="C250" s="94"/>
      <c r="D250" s="29"/>
      <c r="E250" s="360"/>
      <c r="F250" s="95"/>
      <c r="G250" s="244"/>
    </row>
    <row r="252" spans="1:7" x14ac:dyDescent="0.25">
      <c r="A252">
        <v>3</v>
      </c>
      <c r="B252" s="237" t="s">
        <v>225</v>
      </c>
      <c r="C252" s="87"/>
      <c r="D252" s="515" t="s">
        <v>203</v>
      </c>
      <c r="E252" s="356"/>
      <c r="F252" s="516">
        <f>F254</f>
        <v>0</v>
      </c>
      <c r="G252" s="358">
        <f>E252-F252</f>
        <v>0</v>
      </c>
    </row>
    <row r="253" spans="1:7" ht="24" customHeight="1" x14ac:dyDescent="0.25">
      <c r="B253" s="498" t="s">
        <v>278</v>
      </c>
      <c r="C253" s="644" t="s">
        <v>456</v>
      </c>
      <c r="D253" s="615"/>
      <c r="E253" s="615"/>
      <c r="F253" s="615"/>
      <c r="G253" s="616"/>
    </row>
    <row r="254" spans="1:7" ht="24" customHeight="1" x14ac:dyDescent="0.25">
      <c r="B254" s="498" t="s">
        <v>376</v>
      </c>
      <c r="C254" s="644"/>
      <c r="D254" s="615"/>
      <c r="E254" s="615"/>
      <c r="F254" s="615"/>
      <c r="G254" s="616"/>
    </row>
    <row r="255" spans="1:7" ht="24" customHeight="1" x14ac:dyDescent="0.25">
      <c r="B255" s="240"/>
      <c r="C255" s="644"/>
      <c r="D255" s="615"/>
      <c r="E255" s="615"/>
      <c r="F255" s="615"/>
      <c r="G255" s="616"/>
    </row>
    <row r="256" spans="1:7" ht="24" customHeight="1" x14ac:dyDescent="0.25">
      <c r="B256" s="241" t="s">
        <v>8</v>
      </c>
      <c r="C256" s="645"/>
      <c r="D256" s="617"/>
      <c r="E256" s="617"/>
      <c r="F256" s="617"/>
      <c r="G256" s="618"/>
    </row>
    <row r="258" spans="1:7" x14ac:dyDescent="0.25">
      <c r="A258">
        <v>2</v>
      </c>
      <c r="B258" s="366" t="s">
        <v>226</v>
      </c>
      <c r="C258" s="86"/>
      <c r="D258" s="355" t="s">
        <v>203</v>
      </c>
      <c r="E258" s="356">
        <f>SUM(E259:E261)</f>
        <v>135.5</v>
      </c>
      <c r="F258" s="357">
        <f>SUM(F259:F262)</f>
        <v>78</v>
      </c>
      <c r="G258" s="358">
        <f>E258-F258</f>
        <v>57.5</v>
      </c>
    </row>
    <row r="259" spans="1:7" x14ac:dyDescent="0.25">
      <c r="B259" s="32" t="s">
        <v>278</v>
      </c>
      <c r="C259" s="365" t="s">
        <v>374</v>
      </c>
      <c r="D259" s="32"/>
      <c r="E259" s="89"/>
      <c r="F259" s="89">
        <v>78</v>
      </c>
      <c r="G259" s="32"/>
    </row>
    <row r="260" spans="1:7" x14ac:dyDescent="0.25">
      <c r="B260" s="32" t="s">
        <v>377</v>
      </c>
      <c r="C260" s="365" t="s">
        <v>372</v>
      </c>
      <c r="D260" s="32"/>
      <c r="E260" s="89">
        <v>115</v>
      </c>
      <c r="F260" s="89"/>
      <c r="G260" s="32"/>
    </row>
    <row r="261" spans="1:7" x14ac:dyDescent="0.25">
      <c r="B261" s="90"/>
      <c r="C261" s="91" t="s">
        <v>378</v>
      </c>
      <c r="D261" s="92"/>
      <c r="E261" s="89">
        <v>20.5</v>
      </c>
      <c r="F261" s="89"/>
      <c r="G261" s="32"/>
    </row>
    <row r="262" spans="1:7" x14ac:dyDescent="0.25">
      <c r="B262" s="93" t="s">
        <v>8</v>
      </c>
      <c r="C262" s="94"/>
      <c r="D262" s="364"/>
      <c r="E262" s="95"/>
      <c r="F262" s="95"/>
      <c r="G262" s="29"/>
    </row>
    <row r="264" spans="1:7" x14ac:dyDescent="0.25">
      <c r="A264">
        <v>3</v>
      </c>
      <c r="B264" s="237" t="s">
        <v>227</v>
      </c>
      <c r="C264" s="87"/>
      <c r="D264" s="86" t="s">
        <v>203</v>
      </c>
      <c r="E264" s="88">
        <f>E266</f>
        <v>2142</v>
      </c>
      <c r="F264" s="238">
        <f>F267</f>
        <v>1884</v>
      </c>
      <c r="G264" s="690">
        <f>E264-F264</f>
        <v>258</v>
      </c>
    </row>
    <row r="265" spans="1:7" x14ac:dyDescent="0.25">
      <c r="B265" s="498" t="s">
        <v>278</v>
      </c>
      <c r="C265" s="648" t="s">
        <v>324</v>
      </c>
      <c r="D265" s="234"/>
      <c r="E265" s="89"/>
      <c r="F265" s="235"/>
      <c r="G265" s="32"/>
    </row>
    <row r="266" spans="1:7" x14ac:dyDescent="0.25">
      <c r="B266" s="498" t="s">
        <v>325</v>
      </c>
      <c r="C266" s="648"/>
      <c r="D266" s="234" t="s">
        <v>326</v>
      </c>
      <c r="E266" s="689">
        <v>2142</v>
      </c>
      <c r="F266" s="235"/>
      <c r="G266" s="32"/>
    </row>
    <row r="267" spans="1:7" x14ac:dyDescent="0.25">
      <c r="B267" s="240"/>
      <c r="C267" s="648"/>
      <c r="D267" s="234" t="s">
        <v>327</v>
      </c>
      <c r="E267" s="89"/>
      <c r="F267" s="236">
        <v>1884</v>
      </c>
      <c r="G267" s="32"/>
    </row>
    <row r="268" spans="1:7" x14ac:dyDescent="0.25">
      <c r="B268" s="241" t="s">
        <v>8</v>
      </c>
      <c r="C268" s="688"/>
      <c r="D268" s="242"/>
      <c r="E268" s="95"/>
      <c r="F268" s="243"/>
      <c r="G268" s="29"/>
    </row>
    <row r="270" spans="1:7" x14ac:dyDescent="0.25">
      <c r="A270">
        <v>3</v>
      </c>
      <c r="B270" s="385" t="s">
        <v>228</v>
      </c>
      <c r="C270" s="86"/>
      <c r="D270" s="87" t="s">
        <v>362</v>
      </c>
      <c r="E270" s="88" t="s">
        <v>340</v>
      </c>
      <c r="F270" s="88" t="s">
        <v>340</v>
      </c>
      <c r="G270" s="88" t="s">
        <v>340</v>
      </c>
    </row>
    <row r="271" spans="1:7" x14ac:dyDescent="0.25">
      <c r="B271" s="32" t="s">
        <v>278</v>
      </c>
      <c r="C271" s="643" t="s">
        <v>379</v>
      </c>
      <c r="D271" s="613"/>
      <c r="E271" s="613"/>
      <c r="F271" s="613"/>
      <c r="G271" s="614"/>
    </row>
    <row r="272" spans="1:7" x14ac:dyDescent="0.25">
      <c r="B272" s="32" t="s">
        <v>380</v>
      </c>
      <c r="C272" s="644"/>
      <c r="D272" s="615"/>
      <c r="E272" s="615"/>
      <c r="F272" s="615"/>
      <c r="G272" s="616"/>
    </row>
    <row r="273" spans="1:7" x14ac:dyDescent="0.25">
      <c r="B273" s="32" t="s">
        <v>381</v>
      </c>
      <c r="C273" s="644"/>
      <c r="D273" s="615"/>
      <c r="E273" s="615"/>
      <c r="F273" s="615"/>
      <c r="G273" s="616"/>
    </row>
    <row r="274" spans="1:7" x14ac:dyDescent="0.25">
      <c r="B274" s="93" t="s">
        <v>8</v>
      </c>
      <c r="C274" s="645"/>
      <c r="D274" s="617"/>
      <c r="E274" s="617"/>
      <c r="F274" s="617"/>
      <c r="G274" s="618"/>
    </row>
    <row r="276" spans="1:7" x14ac:dyDescent="0.25">
      <c r="A276">
        <v>2</v>
      </c>
      <c r="B276" s="366" t="s">
        <v>229</v>
      </c>
      <c r="C276" s="86" t="s">
        <v>8</v>
      </c>
      <c r="D276" s="87" t="s">
        <v>8</v>
      </c>
      <c r="E276" s="88" t="s">
        <v>286</v>
      </c>
      <c r="F276" s="88" t="s">
        <v>286</v>
      </c>
      <c r="G276" s="88" t="s">
        <v>286</v>
      </c>
    </row>
    <row r="277" spans="1:7" x14ac:dyDescent="0.25">
      <c r="B277" s="32" t="s">
        <v>278</v>
      </c>
      <c r="C277" s="613" t="s">
        <v>382</v>
      </c>
      <c r="D277" s="613"/>
      <c r="E277" s="613"/>
      <c r="F277" s="613"/>
      <c r="G277" s="614"/>
    </row>
    <row r="278" spans="1:7" x14ac:dyDescent="0.25">
      <c r="B278" s="32"/>
      <c r="C278" s="615"/>
      <c r="D278" s="615"/>
      <c r="E278" s="615"/>
      <c r="F278" s="615"/>
      <c r="G278" s="616"/>
    </row>
    <row r="279" spans="1:7" x14ac:dyDescent="0.25">
      <c r="B279" s="90"/>
      <c r="C279" s="615"/>
      <c r="D279" s="615"/>
      <c r="E279" s="615"/>
      <c r="F279" s="615"/>
      <c r="G279" s="616"/>
    </row>
    <row r="280" spans="1:7" x14ac:dyDescent="0.25">
      <c r="B280" s="93" t="s">
        <v>8</v>
      </c>
      <c r="C280" s="617"/>
      <c r="D280" s="617"/>
      <c r="E280" s="617"/>
      <c r="F280" s="617"/>
      <c r="G280" s="618"/>
    </row>
    <row r="282" spans="1:7" x14ac:dyDescent="0.25">
      <c r="A282">
        <v>3</v>
      </c>
      <c r="B282" s="385" t="s">
        <v>230</v>
      </c>
      <c r="C282" s="86"/>
      <c r="D282" s="355" t="s">
        <v>362</v>
      </c>
      <c r="E282" s="356"/>
      <c r="F282" s="357">
        <f>F286</f>
        <v>6</v>
      </c>
      <c r="G282" s="358">
        <f>E282-F282</f>
        <v>-6</v>
      </c>
    </row>
    <row r="283" spans="1:7" x14ac:dyDescent="0.25">
      <c r="B283" s="32" t="s">
        <v>278</v>
      </c>
      <c r="C283" s="648" t="s">
        <v>383</v>
      </c>
      <c r="D283" s="32"/>
      <c r="E283" s="89"/>
      <c r="F283" s="88"/>
      <c r="G283" s="87"/>
    </row>
    <row r="284" spans="1:7" x14ac:dyDescent="0.25">
      <c r="B284" s="90"/>
      <c r="C284" s="648"/>
      <c r="D284" s="32"/>
      <c r="E284" s="89"/>
      <c r="F284" s="89"/>
      <c r="G284" s="32"/>
    </row>
    <row r="285" spans="1:7" x14ac:dyDescent="0.25">
      <c r="B285" s="507" t="s">
        <v>384</v>
      </c>
      <c r="C285" s="91"/>
      <c r="D285" s="92"/>
      <c r="E285" s="89"/>
      <c r="F285" s="89"/>
      <c r="G285" s="32"/>
    </row>
    <row r="286" spans="1:7" x14ac:dyDescent="0.25">
      <c r="B286" s="93" t="s">
        <v>8</v>
      </c>
      <c r="C286" s="94"/>
      <c r="D286" s="29"/>
      <c r="E286" s="95"/>
      <c r="F286" s="367">
        <v>6</v>
      </c>
      <c r="G286" s="517"/>
    </row>
    <row r="288" spans="1:7" x14ac:dyDescent="0.25">
      <c r="A288">
        <v>3</v>
      </c>
      <c r="B288" s="385" t="s">
        <v>231</v>
      </c>
      <c r="C288" s="86"/>
      <c r="D288" s="355" t="s">
        <v>362</v>
      </c>
      <c r="E288" s="356"/>
      <c r="F288" s="368">
        <f>F290</f>
        <v>5.51</v>
      </c>
      <c r="G288" s="369">
        <f>E288-F288</f>
        <v>-5.51</v>
      </c>
    </row>
    <row r="289" spans="1:7" ht="14.45" customHeight="1" x14ac:dyDescent="0.25">
      <c r="B289" s="32" t="s">
        <v>278</v>
      </c>
      <c r="C289" s="648" t="s">
        <v>385</v>
      </c>
      <c r="D289" s="32"/>
      <c r="E289" s="89"/>
      <c r="F289" s="89"/>
      <c r="G289" s="32"/>
    </row>
    <row r="290" spans="1:7" x14ac:dyDescent="0.25">
      <c r="B290" s="32" t="s">
        <v>386</v>
      </c>
      <c r="C290" s="648"/>
      <c r="D290" s="32" t="s">
        <v>331</v>
      </c>
      <c r="E290" s="89"/>
      <c r="F290" s="220">
        <v>5.51</v>
      </c>
      <c r="G290" s="32"/>
    </row>
    <row r="291" spans="1:7" x14ac:dyDescent="0.25">
      <c r="B291" s="90"/>
      <c r="C291" s="648"/>
      <c r="D291" s="92"/>
      <c r="E291" s="89"/>
      <c r="F291" s="89"/>
      <c r="G291" s="32"/>
    </row>
    <row r="292" spans="1:7" x14ac:dyDescent="0.25">
      <c r="B292" s="93" t="s">
        <v>8</v>
      </c>
      <c r="C292" s="94"/>
      <c r="D292" s="29"/>
      <c r="E292" s="95"/>
      <c r="F292" s="95"/>
      <c r="G292" s="29"/>
    </row>
    <row r="294" spans="1:7" x14ac:dyDescent="0.25">
      <c r="A294">
        <v>2</v>
      </c>
      <c r="B294" s="366" t="s">
        <v>232</v>
      </c>
      <c r="C294" s="86"/>
      <c r="D294" s="87" t="s">
        <v>203</v>
      </c>
      <c r="E294" s="88">
        <f>SUM(E295:E298)</f>
        <v>0</v>
      </c>
      <c r="F294" s="88">
        <f>SUM(F295:F298)</f>
        <v>2064</v>
      </c>
      <c r="G294" s="354">
        <f>E294-F294</f>
        <v>-2064</v>
      </c>
    </row>
    <row r="295" spans="1:7" x14ac:dyDescent="0.25">
      <c r="B295" s="32" t="s">
        <v>278</v>
      </c>
      <c r="C295" s="365" t="s">
        <v>387</v>
      </c>
      <c r="D295" s="32"/>
      <c r="E295" s="89"/>
      <c r="F295" s="89">
        <v>2064</v>
      </c>
      <c r="G295" s="32"/>
    </row>
    <row r="296" spans="1:7" ht="45" x14ac:dyDescent="0.25">
      <c r="B296" s="32" t="s">
        <v>388</v>
      </c>
      <c r="C296" s="365" t="s">
        <v>389</v>
      </c>
      <c r="D296" s="32"/>
      <c r="E296" s="89"/>
      <c r="F296" s="89"/>
      <c r="G296" s="32"/>
    </row>
    <row r="297" spans="1:7" x14ac:dyDescent="0.25">
      <c r="B297" s="90"/>
      <c r="C297" s="91"/>
      <c r="D297" s="92"/>
      <c r="E297" s="89"/>
      <c r="F297" s="89"/>
      <c r="G297" s="32"/>
    </row>
    <row r="298" spans="1:7" x14ac:dyDescent="0.25">
      <c r="B298" s="93" t="s">
        <v>8</v>
      </c>
      <c r="C298" s="94"/>
      <c r="D298" s="29"/>
      <c r="E298" s="95"/>
      <c r="F298" s="95"/>
      <c r="G298" s="29"/>
    </row>
    <row r="300" spans="1:7" x14ac:dyDescent="0.25">
      <c r="A300">
        <v>2</v>
      </c>
      <c r="B300" s="366" t="s">
        <v>233</v>
      </c>
      <c r="C300" s="86"/>
      <c r="D300" s="87" t="s">
        <v>8</v>
      </c>
      <c r="E300" s="88" t="s">
        <v>286</v>
      </c>
      <c r="F300" s="88" t="s">
        <v>286</v>
      </c>
      <c r="G300" s="88" t="s">
        <v>286</v>
      </c>
    </row>
    <row r="301" spans="1:7" x14ac:dyDescent="0.25">
      <c r="B301" s="32" t="s">
        <v>278</v>
      </c>
      <c r="C301" s="613" t="s">
        <v>390</v>
      </c>
      <c r="D301" s="613"/>
      <c r="E301" s="613"/>
      <c r="F301" s="613"/>
      <c r="G301" s="614"/>
    </row>
    <row r="302" spans="1:7" x14ac:dyDescent="0.25">
      <c r="B302" s="32"/>
      <c r="C302" s="615"/>
      <c r="D302" s="615"/>
      <c r="E302" s="615"/>
      <c r="F302" s="615"/>
      <c r="G302" s="616"/>
    </row>
    <row r="303" spans="1:7" x14ac:dyDescent="0.25">
      <c r="B303" s="90"/>
      <c r="C303" s="615"/>
      <c r="D303" s="615"/>
      <c r="E303" s="615"/>
      <c r="F303" s="615"/>
      <c r="G303" s="616"/>
    </row>
    <row r="304" spans="1:7" ht="36.75" customHeight="1" x14ac:dyDescent="0.25">
      <c r="B304" s="93" t="s">
        <v>8</v>
      </c>
      <c r="C304" s="617"/>
      <c r="D304" s="617"/>
      <c r="E304" s="617"/>
      <c r="F304" s="617"/>
      <c r="G304" s="618"/>
    </row>
    <row r="305" spans="1:9" x14ac:dyDescent="0.25">
      <c r="B305" s="2"/>
    </row>
    <row r="306" spans="1:9" ht="21" x14ac:dyDescent="0.35">
      <c r="B306" s="376" t="s">
        <v>234</v>
      </c>
      <c r="C306" s="194"/>
      <c r="D306" s="194"/>
      <c r="E306" s="195"/>
      <c r="F306" s="195"/>
      <c r="G306" s="194"/>
    </row>
    <row r="308" spans="1:9" x14ac:dyDescent="0.25">
      <c r="A308">
        <v>3</v>
      </c>
      <c r="B308" s="210" t="s">
        <v>235</v>
      </c>
      <c r="C308" s="198"/>
      <c r="D308" s="276" t="s">
        <v>8</v>
      </c>
      <c r="E308" s="274">
        <f>E313</f>
        <v>0</v>
      </c>
      <c r="F308" s="274">
        <f t="shared" ref="F308:G308" si="2">F313</f>
        <v>0</v>
      </c>
      <c r="G308" s="275">
        <f t="shared" si="2"/>
        <v>0</v>
      </c>
      <c r="H308" s="6"/>
      <c r="I308" s="6"/>
    </row>
    <row r="309" spans="1:9" x14ac:dyDescent="0.25">
      <c r="B309" s="201" t="s">
        <v>278</v>
      </c>
      <c r="C309" s="246" t="s">
        <v>392</v>
      </c>
      <c r="D309" s="270">
        <v>0.45</v>
      </c>
      <c r="E309" s="250">
        <f>'Winst en verliesrekening'!B5*'Toelichting maatregelen'!D309</f>
        <v>0</v>
      </c>
      <c r="F309" s="246"/>
      <c r="G309" s="216"/>
      <c r="H309" s="6"/>
      <c r="I309" s="6"/>
    </row>
    <row r="310" spans="1:9" x14ac:dyDescent="0.25">
      <c r="B310" s="201" t="s">
        <v>391</v>
      </c>
      <c r="C310" s="246" t="s">
        <v>393</v>
      </c>
      <c r="D310" s="270">
        <v>-0.27</v>
      </c>
      <c r="E310" s="246"/>
      <c r="F310" s="248">
        <f>'Winst en verliesrekening'!B11*'Toelichting maatregelen'!D310</f>
        <v>0</v>
      </c>
      <c r="G310" s="216"/>
      <c r="H310" s="6"/>
      <c r="I310" s="6"/>
    </row>
    <row r="311" spans="1:9" x14ac:dyDescent="0.25">
      <c r="B311" s="201"/>
      <c r="C311" s="246" t="s">
        <v>394</v>
      </c>
      <c r="D311" s="270">
        <v>-0.17</v>
      </c>
      <c r="E311" s="246"/>
      <c r="F311" s="248">
        <f>'Winst en verliesrekening'!B12*'Toelichting maatregelen'!D311</f>
        <v>0</v>
      </c>
      <c r="G311" s="216"/>
      <c r="H311" s="6"/>
      <c r="I311" s="6"/>
    </row>
    <row r="312" spans="1:9" x14ac:dyDescent="0.25">
      <c r="B312" s="201"/>
      <c r="C312" s="246" t="s">
        <v>395</v>
      </c>
      <c r="D312" s="270">
        <v>-0.5</v>
      </c>
      <c r="E312" s="231"/>
      <c r="F312" s="272">
        <f>'Winst en verliesrekening'!B18*'Toelichting maatregelen'!D312</f>
        <v>0</v>
      </c>
      <c r="G312" s="249"/>
      <c r="H312" s="6"/>
      <c r="I312" s="6"/>
    </row>
    <row r="313" spans="1:9" x14ac:dyDescent="0.25">
      <c r="B313" s="206" t="s">
        <v>8</v>
      </c>
      <c r="C313" s="231"/>
      <c r="D313" s="271"/>
      <c r="E313" s="272">
        <f>SUM(E309:E312)</f>
        <v>0</v>
      </c>
      <c r="F313" s="272">
        <f>SUM(F310:F312)</f>
        <v>0</v>
      </c>
      <c r="G313" s="273">
        <f>E313-F313</f>
        <v>0</v>
      </c>
      <c r="H313" s="6"/>
      <c r="I313" s="6"/>
    </row>
    <row r="314" spans="1:9" x14ac:dyDescent="0.25">
      <c r="C314" s="191"/>
      <c r="D314" s="191"/>
      <c r="E314" s="191"/>
      <c r="F314" s="191"/>
      <c r="G314" s="191"/>
      <c r="H314" s="191"/>
      <c r="I314" s="191"/>
    </row>
    <row r="315" spans="1:9" x14ac:dyDescent="0.25">
      <c r="A315">
        <v>3</v>
      </c>
      <c r="B315" s="210" t="s">
        <v>236</v>
      </c>
      <c r="C315" s="198"/>
      <c r="D315" s="199" t="s">
        <v>8</v>
      </c>
      <c r="E315" s="200" t="s">
        <v>286</v>
      </c>
      <c r="F315" s="200" t="s">
        <v>286</v>
      </c>
      <c r="G315" s="200" t="s">
        <v>286</v>
      </c>
      <c r="H315" s="191"/>
      <c r="I315" s="191"/>
    </row>
    <row r="316" spans="1:9" x14ac:dyDescent="0.25">
      <c r="B316" s="201" t="s">
        <v>278</v>
      </c>
      <c r="C316" s="628" t="s">
        <v>396</v>
      </c>
      <c r="D316" s="629"/>
      <c r="E316" s="629"/>
      <c r="F316" s="629"/>
      <c r="G316" s="630"/>
    </row>
    <row r="317" spans="1:9" x14ac:dyDescent="0.25">
      <c r="B317" s="201" t="s">
        <v>289</v>
      </c>
      <c r="C317" s="628"/>
      <c r="D317" s="629"/>
      <c r="E317" s="629"/>
      <c r="F317" s="629"/>
      <c r="G317" s="630"/>
    </row>
    <row r="318" spans="1:9" x14ac:dyDescent="0.25">
      <c r="B318" s="203"/>
      <c r="C318" s="628"/>
      <c r="D318" s="629"/>
      <c r="E318" s="629"/>
      <c r="F318" s="629"/>
      <c r="G318" s="630"/>
    </row>
    <row r="319" spans="1:9" ht="37.5" customHeight="1" x14ac:dyDescent="0.25">
      <c r="B319" s="206" t="s">
        <v>8</v>
      </c>
      <c r="C319" s="631"/>
      <c r="D319" s="632"/>
      <c r="E319" s="632"/>
      <c r="F319" s="632"/>
      <c r="G319" s="633"/>
    </row>
    <row r="321" spans="1:7" x14ac:dyDescent="0.25">
      <c r="A321">
        <v>3</v>
      </c>
      <c r="B321" s="210" t="s">
        <v>237</v>
      </c>
      <c r="C321" s="198"/>
      <c r="D321" s="199" t="s">
        <v>8</v>
      </c>
      <c r="E321" s="200" t="s">
        <v>286</v>
      </c>
      <c r="F321" s="200" t="s">
        <v>286</v>
      </c>
      <c r="G321" s="200" t="s">
        <v>286</v>
      </c>
    </row>
    <row r="322" spans="1:7" x14ac:dyDescent="0.25">
      <c r="B322" s="201" t="s">
        <v>278</v>
      </c>
      <c r="C322" s="628" t="s">
        <v>397</v>
      </c>
      <c r="D322" s="629"/>
      <c r="E322" s="629"/>
      <c r="F322" s="629"/>
      <c r="G322" s="630"/>
    </row>
    <row r="323" spans="1:7" x14ac:dyDescent="0.25">
      <c r="B323" s="201" t="s">
        <v>486</v>
      </c>
      <c r="C323" s="628"/>
      <c r="D323" s="629"/>
      <c r="E323" s="629"/>
      <c r="F323" s="629"/>
      <c r="G323" s="630"/>
    </row>
    <row r="324" spans="1:7" x14ac:dyDescent="0.25">
      <c r="B324" s="201" t="s">
        <v>398</v>
      </c>
      <c r="C324" s="628"/>
      <c r="D324" s="629"/>
      <c r="E324" s="629"/>
      <c r="F324" s="629"/>
      <c r="G324" s="630"/>
    </row>
    <row r="325" spans="1:7" ht="69" customHeight="1" x14ac:dyDescent="0.25">
      <c r="B325" s="206" t="s">
        <v>8</v>
      </c>
      <c r="C325" s="631"/>
      <c r="D325" s="632"/>
      <c r="E325" s="632"/>
      <c r="F325" s="632"/>
      <c r="G325" s="633"/>
    </row>
    <row r="327" spans="1:7" x14ac:dyDescent="0.25">
      <c r="A327">
        <v>1</v>
      </c>
      <c r="B327" s="210" t="s">
        <v>238</v>
      </c>
      <c r="C327" s="198"/>
      <c r="D327" s="199" t="s">
        <v>8</v>
      </c>
      <c r="E327" s="200" t="s">
        <v>286</v>
      </c>
      <c r="F327" s="200" t="s">
        <v>286</v>
      </c>
      <c r="G327" s="200" t="s">
        <v>286</v>
      </c>
    </row>
    <row r="328" spans="1:7" ht="31.9" customHeight="1" x14ac:dyDescent="0.25">
      <c r="B328" s="201" t="s">
        <v>278</v>
      </c>
      <c r="C328" s="628" t="s">
        <v>399</v>
      </c>
      <c r="D328" s="629"/>
      <c r="E328" s="629"/>
      <c r="F328" s="629"/>
      <c r="G328" s="630"/>
    </row>
    <row r="329" spans="1:7" ht="31.9" customHeight="1" x14ac:dyDescent="0.25">
      <c r="B329" s="201" t="s">
        <v>400</v>
      </c>
      <c r="C329" s="628"/>
      <c r="D329" s="629"/>
      <c r="E329" s="629"/>
      <c r="F329" s="629"/>
      <c r="G329" s="630"/>
    </row>
    <row r="330" spans="1:7" ht="31.9" customHeight="1" x14ac:dyDescent="0.25">
      <c r="B330" s="499"/>
      <c r="C330" s="628"/>
      <c r="D330" s="629"/>
      <c r="E330" s="629"/>
      <c r="F330" s="629"/>
      <c r="G330" s="630"/>
    </row>
    <row r="331" spans="1:7" ht="31.9" customHeight="1" x14ac:dyDescent="0.25">
      <c r="B331" s="206" t="s">
        <v>8</v>
      </c>
      <c r="C331" s="631"/>
      <c r="D331" s="632"/>
      <c r="E331" s="632"/>
      <c r="F331" s="632"/>
      <c r="G331" s="633"/>
    </row>
    <row r="333" spans="1:7" x14ac:dyDescent="0.25">
      <c r="A333">
        <v>3</v>
      </c>
      <c r="B333" s="210" t="s">
        <v>239</v>
      </c>
      <c r="C333" s="198"/>
      <c r="D333" s="199" t="s">
        <v>203</v>
      </c>
      <c r="E333" s="200"/>
      <c r="F333" s="200"/>
      <c r="G333" s="199"/>
    </row>
    <row r="334" spans="1:7" x14ac:dyDescent="0.25">
      <c r="B334" s="201" t="str">
        <f t="shared" ref="B334" si="3">B53</f>
        <v>Bronvermelding:</v>
      </c>
      <c r="C334" s="324" t="str">
        <f t="shared" ref="C334:G337" si="4">C53</f>
        <v>Luzerne</v>
      </c>
      <c r="D334" s="201">
        <f t="shared" si="4"/>
        <v>0</v>
      </c>
      <c r="E334" s="202">
        <f t="shared" si="4"/>
        <v>1401</v>
      </c>
      <c r="F334" s="202">
        <f t="shared" si="4"/>
        <v>1310</v>
      </c>
      <c r="G334" s="201">
        <f t="shared" si="4"/>
        <v>91</v>
      </c>
    </row>
    <row r="335" spans="1:7" x14ac:dyDescent="0.25">
      <c r="B335" s="201" t="s">
        <v>301</v>
      </c>
      <c r="C335" s="324" t="str">
        <f t="shared" si="4"/>
        <v>Veldbonen</v>
      </c>
      <c r="D335" s="201">
        <f t="shared" si="4"/>
        <v>0</v>
      </c>
      <c r="E335" s="202">
        <f t="shared" si="4"/>
        <v>961</v>
      </c>
      <c r="F335" s="202">
        <f t="shared" si="4"/>
        <v>1600</v>
      </c>
      <c r="G335" s="201">
        <f t="shared" si="4"/>
        <v>-639</v>
      </c>
    </row>
    <row r="336" spans="1:7" x14ac:dyDescent="0.25">
      <c r="B336" s="201" t="s">
        <v>466</v>
      </c>
      <c r="C336" s="204" t="str">
        <f t="shared" si="4"/>
        <v>Sojabonen</v>
      </c>
      <c r="D336" s="205">
        <f t="shared" si="4"/>
        <v>0</v>
      </c>
      <c r="E336" s="202">
        <f t="shared" si="4"/>
        <v>806</v>
      </c>
      <c r="F336" s="202">
        <f t="shared" si="4"/>
        <v>1200</v>
      </c>
      <c r="G336" s="201">
        <f t="shared" si="4"/>
        <v>-394</v>
      </c>
    </row>
    <row r="337" spans="1:7" x14ac:dyDescent="0.25">
      <c r="B337" s="201" t="s">
        <v>303</v>
      </c>
      <c r="C337" s="204" t="str">
        <f t="shared" si="4"/>
        <v>Lupine</v>
      </c>
      <c r="D337" s="205">
        <f t="shared" si="4"/>
        <v>0</v>
      </c>
      <c r="E337" s="202">
        <f t="shared" si="4"/>
        <v>697</v>
      </c>
      <c r="F337" s="202">
        <f t="shared" si="4"/>
        <v>871</v>
      </c>
      <c r="G337" s="201">
        <f t="shared" si="4"/>
        <v>-174</v>
      </c>
    </row>
    <row r="338" spans="1:7" x14ac:dyDescent="0.25">
      <c r="B338" s="208" t="s">
        <v>305</v>
      </c>
      <c r="C338" s="207"/>
      <c r="D338" s="208"/>
      <c r="E338" s="209"/>
      <c r="F338" s="209"/>
      <c r="G338" s="208"/>
    </row>
    <row r="340" spans="1:7" x14ac:dyDescent="0.25">
      <c r="A340">
        <v>1</v>
      </c>
      <c r="B340" s="210" t="s">
        <v>240</v>
      </c>
      <c r="C340" s="198"/>
      <c r="D340" s="518" t="s">
        <v>401</v>
      </c>
      <c r="E340" s="280"/>
      <c r="F340" s="280">
        <f>F342</f>
        <v>15</v>
      </c>
      <c r="G340" s="281">
        <f>E340-F340</f>
        <v>-15</v>
      </c>
    </row>
    <row r="341" spans="1:7" ht="14.45" customHeight="1" x14ac:dyDescent="0.25">
      <c r="B341" s="201" t="s">
        <v>278</v>
      </c>
      <c r="C341" s="629" t="s">
        <v>402</v>
      </c>
      <c r="D341" s="246"/>
      <c r="E341" s="247"/>
      <c r="F341" s="247"/>
      <c r="G341" s="216"/>
    </row>
    <row r="342" spans="1:7" x14ac:dyDescent="0.25">
      <c r="B342" s="201" t="s">
        <v>403</v>
      </c>
      <c r="C342" s="629"/>
      <c r="D342" s="246" t="s">
        <v>404</v>
      </c>
      <c r="E342" s="247"/>
      <c r="F342" s="247">
        <v>15</v>
      </c>
      <c r="G342" s="216"/>
    </row>
    <row r="343" spans="1:7" ht="37.5" customHeight="1" x14ac:dyDescent="0.25">
      <c r="B343" s="203"/>
      <c r="C343" s="629"/>
      <c r="D343" s="277"/>
      <c r="E343" s="247"/>
      <c r="F343" s="247"/>
      <c r="G343" s="216"/>
    </row>
    <row r="344" spans="1:7" x14ac:dyDescent="0.25">
      <c r="B344" s="206" t="s">
        <v>8</v>
      </c>
      <c r="C344" s="207"/>
      <c r="D344" s="231"/>
      <c r="E344" s="232"/>
      <c r="F344" s="232"/>
      <c r="G344" s="249"/>
    </row>
    <row r="346" spans="1:7" x14ac:dyDescent="0.25">
      <c r="A346">
        <v>1</v>
      </c>
      <c r="B346" s="210" t="s">
        <v>241</v>
      </c>
      <c r="C346" s="279" t="s">
        <v>8</v>
      </c>
      <c r="D346" s="518" t="s">
        <v>401</v>
      </c>
      <c r="E346" s="280"/>
      <c r="F346" s="280">
        <f>F348</f>
        <v>20</v>
      </c>
      <c r="G346" s="281">
        <f>E346-F346</f>
        <v>-20</v>
      </c>
    </row>
    <row r="347" spans="1:7" x14ac:dyDescent="0.25">
      <c r="B347" s="201" t="s">
        <v>278</v>
      </c>
      <c r="C347" s="629" t="s">
        <v>405</v>
      </c>
      <c r="D347" s="246"/>
      <c r="E347" s="247"/>
      <c r="F347" s="247"/>
      <c r="G347" s="216"/>
    </row>
    <row r="348" spans="1:7" x14ac:dyDescent="0.25">
      <c r="B348" s="201" t="s">
        <v>406</v>
      </c>
      <c r="C348" s="629"/>
      <c r="D348" s="246" t="s">
        <v>404</v>
      </c>
      <c r="E348" s="247"/>
      <c r="F348" s="247">
        <v>20</v>
      </c>
      <c r="G348" s="216"/>
    </row>
    <row r="349" spans="1:7" ht="29.25" customHeight="1" x14ac:dyDescent="0.25">
      <c r="B349" s="203"/>
      <c r="C349" s="629"/>
      <c r="D349" s="277"/>
      <c r="E349" s="247"/>
      <c r="F349" s="247"/>
      <c r="G349" s="216"/>
    </row>
    <row r="350" spans="1:7" x14ac:dyDescent="0.25">
      <c r="B350" s="206" t="s">
        <v>8</v>
      </c>
      <c r="C350" s="207"/>
      <c r="D350" s="231"/>
      <c r="E350" s="232"/>
      <c r="F350" s="232"/>
      <c r="G350" s="249"/>
    </row>
    <row r="352" spans="1:7" x14ac:dyDescent="0.25">
      <c r="A352">
        <v>3</v>
      </c>
      <c r="B352" s="210" t="s">
        <v>242</v>
      </c>
      <c r="C352" s="198"/>
      <c r="D352" s="518" t="s">
        <v>362</v>
      </c>
      <c r="E352" s="280">
        <f>E354</f>
        <v>2142</v>
      </c>
      <c r="F352" s="280">
        <f>F355</f>
        <v>1884</v>
      </c>
      <c r="G352" s="519">
        <f>E352-F352</f>
        <v>258</v>
      </c>
    </row>
    <row r="353" spans="1:7" x14ac:dyDescent="0.25">
      <c r="B353" s="201" t="s">
        <v>278</v>
      </c>
      <c r="C353" s="629" t="s">
        <v>324</v>
      </c>
      <c r="D353" s="246"/>
      <c r="E353" s="247"/>
      <c r="F353" s="247"/>
      <c r="G353" s="216"/>
    </row>
    <row r="354" spans="1:7" x14ac:dyDescent="0.25">
      <c r="B354" s="201" t="s">
        <v>325</v>
      </c>
      <c r="C354" s="629"/>
      <c r="D354" s="246" t="s">
        <v>326</v>
      </c>
      <c r="E354" s="248">
        <v>2142</v>
      </c>
      <c r="F354" s="247"/>
      <c r="G354" s="216"/>
    </row>
    <row r="355" spans="1:7" x14ac:dyDescent="0.25">
      <c r="B355" s="203"/>
      <c r="C355" s="629"/>
      <c r="D355" s="246" t="s">
        <v>407</v>
      </c>
      <c r="E355" s="247"/>
      <c r="F355" s="248">
        <v>1884</v>
      </c>
      <c r="G355" s="216"/>
    </row>
    <row r="356" spans="1:7" x14ac:dyDescent="0.25">
      <c r="B356" s="206" t="s">
        <v>8</v>
      </c>
      <c r="C356" s="207"/>
      <c r="D356" s="231"/>
      <c r="E356" s="232"/>
      <c r="F356" s="232"/>
      <c r="G356" s="249"/>
    </row>
    <row r="358" spans="1:7" x14ac:dyDescent="0.25">
      <c r="A358">
        <v>2</v>
      </c>
      <c r="B358" s="210" t="s">
        <v>243</v>
      </c>
      <c r="C358" s="198"/>
      <c r="D358" s="199" t="s">
        <v>362</v>
      </c>
      <c r="E358" s="370">
        <v>0</v>
      </c>
      <c r="F358" s="371">
        <f>F360</f>
        <v>5</v>
      </c>
      <c r="G358" s="372">
        <f>E358-F358</f>
        <v>-5</v>
      </c>
    </row>
    <row r="359" spans="1:7" x14ac:dyDescent="0.25">
      <c r="B359" s="201" t="s">
        <v>278</v>
      </c>
      <c r="C359" s="652" t="s">
        <v>408</v>
      </c>
      <c r="D359" s="201"/>
      <c r="E359" s="214"/>
      <c r="F359" s="202"/>
      <c r="G359" s="201"/>
    </row>
    <row r="360" spans="1:7" x14ac:dyDescent="0.25">
      <c r="B360" s="201" t="s">
        <v>409</v>
      </c>
      <c r="C360" s="652"/>
      <c r="D360" s="201" t="s">
        <v>331</v>
      </c>
      <c r="E360" s="214"/>
      <c r="F360" s="219">
        <v>5</v>
      </c>
      <c r="G360" s="201"/>
    </row>
    <row r="361" spans="1:7" x14ac:dyDescent="0.25">
      <c r="B361" s="203"/>
      <c r="C361" s="204"/>
      <c r="D361" s="205"/>
      <c r="E361" s="214"/>
      <c r="F361" s="202"/>
      <c r="G361" s="201"/>
    </row>
    <row r="362" spans="1:7" x14ac:dyDescent="0.25">
      <c r="B362" s="206" t="s">
        <v>8</v>
      </c>
      <c r="C362" s="207"/>
      <c r="D362" s="208"/>
      <c r="E362" s="215"/>
      <c r="F362" s="217"/>
      <c r="G362" s="218"/>
    </row>
    <row r="364" spans="1:7" x14ac:dyDescent="0.25">
      <c r="A364">
        <v>1</v>
      </c>
      <c r="B364" s="210" t="s">
        <v>244</v>
      </c>
      <c r="C364" s="279" t="s">
        <v>8</v>
      </c>
      <c r="D364" s="198" t="s">
        <v>410</v>
      </c>
      <c r="E364" s="245"/>
      <c r="F364" s="245">
        <f>F366</f>
        <v>40</v>
      </c>
      <c r="G364" s="278">
        <f>E364-F364</f>
        <v>-40</v>
      </c>
    </row>
    <row r="365" spans="1:7" x14ac:dyDescent="0.25">
      <c r="B365" s="201" t="s">
        <v>278</v>
      </c>
      <c r="C365" s="626" t="s">
        <v>411</v>
      </c>
      <c r="D365" s="198"/>
      <c r="E365" s="245"/>
      <c r="F365" s="245"/>
      <c r="G365" s="384"/>
    </row>
    <row r="366" spans="1:7" x14ac:dyDescent="0.25">
      <c r="B366" s="201" t="s">
        <v>412</v>
      </c>
      <c r="C366" s="629"/>
      <c r="D366" s="246" t="s">
        <v>413</v>
      </c>
      <c r="E366" s="247"/>
      <c r="F366" s="247">
        <v>40</v>
      </c>
      <c r="G366" s="216"/>
    </row>
    <row r="367" spans="1:7" x14ac:dyDescent="0.25">
      <c r="B367" s="201"/>
      <c r="C367" s="204"/>
      <c r="D367" s="277"/>
      <c r="E367" s="247"/>
      <c r="F367" s="247"/>
      <c r="G367" s="216"/>
    </row>
    <row r="368" spans="1:7" x14ac:dyDescent="0.25">
      <c r="B368" s="206" t="s">
        <v>8</v>
      </c>
      <c r="C368" s="207"/>
      <c r="D368" s="231"/>
      <c r="E368" s="232"/>
      <c r="F368" s="232"/>
      <c r="G368" s="249"/>
    </row>
    <row r="370" spans="1:7" ht="14.45" customHeight="1" x14ac:dyDescent="0.25">
      <c r="A370">
        <v>3</v>
      </c>
      <c r="B370" s="228" t="s">
        <v>195</v>
      </c>
      <c r="C370" s="229"/>
      <c r="D370" s="523" t="s">
        <v>203</v>
      </c>
      <c r="E370" s="524">
        <v>0</v>
      </c>
      <c r="F370" s="524">
        <v>0</v>
      </c>
      <c r="G370" s="525">
        <v>0</v>
      </c>
    </row>
    <row r="371" spans="1:7" ht="14.45" customHeight="1" x14ac:dyDescent="0.25">
      <c r="B371" s="269" t="s">
        <v>278</v>
      </c>
      <c r="C371" s="650" t="s">
        <v>320</v>
      </c>
      <c r="D371" s="650"/>
      <c r="E371" s="650"/>
      <c r="F371" s="650"/>
      <c r="G371" s="651"/>
    </row>
    <row r="372" spans="1:7" ht="14.45" customHeight="1" x14ac:dyDescent="0.25">
      <c r="B372" s="653" t="s">
        <v>321</v>
      </c>
      <c r="C372" s="650"/>
      <c r="D372" s="650"/>
      <c r="E372" s="650"/>
      <c r="F372" s="650"/>
      <c r="G372" s="651"/>
    </row>
    <row r="373" spans="1:7" x14ac:dyDescent="0.25">
      <c r="B373" s="653"/>
      <c r="C373" s="650"/>
      <c r="D373" s="650"/>
      <c r="E373" s="650"/>
      <c r="F373" s="650"/>
      <c r="G373" s="651"/>
    </row>
    <row r="374" spans="1:7" x14ac:dyDescent="0.25">
      <c r="B374" s="230" t="s">
        <v>8</v>
      </c>
      <c r="C374" s="207"/>
      <c r="D374" s="231"/>
      <c r="E374" s="232"/>
      <c r="F374" s="232"/>
      <c r="G374" s="233"/>
    </row>
    <row r="376" spans="1:7" x14ac:dyDescent="0.25">
      <c r="A376">
        <v>2</v>
      </c>
      <c r="B376" s="500" t="s">
        <v>196</v>
      </c>
      <c r="C376" s="198"/>
      <c r="D376" s="199" t="s">
        <v>203</v>
      </c>
      <c r="E376" s="200" t="s">
        <v>286</v>
      </c>
      <c r="F376" s="200" t="s">
        <v>286</v>
      </c>
      <c r="G376" s="200" t="s">
        <v>286</v>
      </c>
    </row>
    <row r="377" spans="1:7" x14ac:dyDescent="0.25">
      <c r="B377" s="201" t="s">
        <v>278</v>
      </c>
      <c r="C377" s="625" t="s">
        <v>322</v>
      </c>
      <c r="D377" s="626"/>
      <c r="E377" s="626"/>
      <c r="F377" s="626"/>
      <c r="G377" s="627"/>
    </row>
    <row r="378" spans="1:7" x14ac:dyDescent="0.25">
      <c r="B378" s="201"/>
      <c r="C378" s="628"/>
      <c r="D378" s="629"/>
      <c r="E378" s="629"/>
      <c r="F378" s="629"/>
      <c r="G378" s="630"/>
    </row>
    <row r="379" spans="1:7" x14ac:dyDescent="0.25">
      <c r="B379" s="203"/>
      <c r="C379" s="628"/>
      <c r="D379" s="629"/>
      <c r="E379" s="629"/>
      <c r="F379" s="629"/>
      <c r="G379" s="630"/>
    </row>
    <row r="380" spans="1:7" x14ac:dyDescent="0.25">
      <c r="B380" s="206" t="s">
        <v>8</v>
      </c>
      <c r="C380" s="631"/>
      <c r="D380" s="632"/>
      <c r="E380" s="632"/>
      <c r="F380" s="632"/>
      <c r="G380" s="633"/>
    </row>
    <row r="382" spans="1:7" x14ac:dyDescent="0.25">
      <c r="A382">
        <v>3</v>
      </c>
      <c r="B382" s="210" t="s">
        <v>245</v>
      </c>
      <c r="C382" s="198"/>
      <c r="D382" s="199" t="s">
        <v>203</v>
      </c>
      <c r="E382" s="200"/>
      <c r="F382" s="200"/>
      <c r="G382" s="199"/>
    </row>
    <row r="383" spans="1:7" x14ac:dyDescent="0.25">
      <c r="B383" s="201" t="s">
        <v>278</v>
      </c>
      <c r="C383" s="211" t="s">
        <v>414</v>
      </c>
      <c r="D383" s="201"/>
      <c r="E383" s="202"/>
      <c r="F383" s="202"/>
      <c r="G383" s="201"/>
    </row>
    <row r="384" spans="1:7" ht="15" customHeight="1" x14ac:dyDescent="0.25">
      <c r="B384" s="654" t="s">
        <v>415</v>
      </c>
      <c r="C384" s="211" t="s">
        <v>416</v>
      </c>
      <c r="D384" s="212">
        <v>-0.1</v>
      </c>
      <c r="E384" s="202"/>
      <c r="F384" s="202">
        <f>Selectievakken!J3*Selectievakken!K3/1000*'Toelichting maatregelen'!D384*'Toelichting maatregelen'!C5</f>
        <v>-163.36320000000001</v>
      </c>
      <c r="G384" s="201"/>
    </row>
    <row r="385" spans="1:7" x14ac:dyDescent="0.25">
      <c r="B385" s="654"/>
      <c r="C385" s="204" t="s">
        <v>246</v>
      </c>
      <c r="D385" s="213">
        <v>-0.4</v>
      </c>
      <c r="E385" s="202"/>
      <c r="F385" s="202">
        <f>Selectievakken!J3*Selectievakken!K3/1000*'Toelichting maatregelen'!D385*'Toelichting maatregelen'!C5</f>
        <v>-653.45280000000002</v>
      </c>
      <c r="G385" s="201"/>
    </row>
    <row r="386" spans="1:7" x14ac:dyDescent="0.25">
      <c r="B386" s="206" t="s">
        <v>8</v>
      </c>
      <c r="C386" s="207"/>
      <c r="D386" s="208"/>
      <c r="E386" s="209"/>
      <c r="F386" s="209"/>
      <c r="G386" s="208"/>
    </row>
    <row r="388" spans="1:7" x14ac:dyDescent="0.25">
      <c r="A388">
        <v>3</v>
      </c>
      <c r="B388" s="210" t="s">
        <v>247</v>
      </c>
      <c r="C388" s="198"/>
      <c r="D388" s="199" t="s">
        <v>8</v>
      </c>
      <c r="E388" s="200" t="s">
        <v>286</v>
      </c>
      <c r="F388" s="200" t="s">
        <v>286</v>
      </c>
      <c r="G388" s="200" t="s">
        <v>286</v>
      </c>
    </row>
    <row r="389" spans="1:7" x14ac:dyDescent="0.25">
      <c r="B389" s="201" t="s">
        <v>278</v>
      </c>
      <c r="C389" s="628" t="s">
        <v>417</v>
      </c>
      <c r="D389" s="629"/>
      <c r="E389" s="629"/>
      <c r="F389" s="629"/>
      <c r="G389" s="630"/>
    </row>
    <row r="390" spans="1:7" x14ac:dyDescent="0.25">
      <c r="B390" s="201" t="s">
        <v>467</v>
      </c>
      <c r="C390" s="628"/>
      <c r="D390" s="629"/>
      <c r="E390" s="629"/>
      <c r="F390" s="629"/>
      <c r="G390" s="630"/>
    </row>
    <row r="391" spans="1:7" x14ac:dyDescent="0.25">
      <c r="B391" s="203"/>
      <c r="C391" s="628"/>
      <c r="D391" s="629"/>
      <c r="E391" s="629"/>
      <c r="F391" s="629"/>
      <c r="G391" s="630"/>
    </row>
    <row r="392" spans="1:7" ht="48.75" customHeight="1" x14ac:dyDescent="0.25">
      <c r="B392" s="206" t="s">
        <v>8</v>
      </c>
      <c r="C392" s="631"/>
      <c r="D392" s="632"/>
      <c r="E392" s="632"/>
      <c r="F392" s="632"/>
      <c r="G392" s="633"/>
    </row>
    <row r="394" spans="1:7" x14ac:dyDescent="0.25">
      <c r="A394">
        <v>3</v>
      </c>
      <c r="B394" s="210" t="s">
        <v>248</v>
      </c>
      <c r="C394" s="198"/>
      <c r="D394" s="520" t="s">
        <v>203</v>
      </c>
      <c r="E394" s="521">
        <f>SUM(E395:E398)</f>
        <v>0</v>
      </c>
      <c r="F394" s="521">
        <f>SUM(F395:F398)</f>
        <v>2064</v>
      </c>
      <c r="G394" s="522">
        <f>E394-F394</f>
        <v>-2064</v>
      </c>
    </row>
    <row r="395" spans="1:7" x14ac:dyDescent="0.25">
      <c r="B395" s="201" t="s">
        <v>278</v>
      </c>
      <c r="C395" s="324" t="s">
        <v>387</v>
      </c>
      <c r="D395" s="201"/>
      <c r="E395" s="202"/>
      <c r="F395" s="202">
        <v>2064</v>
      </c>
      <c r="G395" s="201"/>
    </row>
    <row r="396" spans="1:7" x14ac:dyDescent="0.25">
      <c r="B396" s="201" t="s">
        <v>418</v>
      </c>
      <c r="C396" s="652" t="s">
        <v>419</v>
      </c>
      <c r="D396" s="201"/>
      <c r="E396" s="202"/>
      <c r="F396" s="202"/>
      <c r="G396" s="201"/>
    </row>
    <row r="397" spans="1:7" x14ac:dyDescent="0.25">
      <c r="B397" s="203"/>
      <c r="C397" s="652"/>
      <c r="D397" s="205"/>
      <c r="E397" s="202"/>
      <c r="F397" s="202"/>
      <c r="G397" s="201"/>
    </row>
    <row r="398" spans="1:7" x14ac:dyDescent="0.25">
      <c r="B398" s="206" t="s">
        <v>8</v>
      </c>
      <c r="C398" s="207"/>
      <c r="D398" s="208"/>
      <c r="E398" s="209"/>
      <c r="F398" s="209"/>
      <c r="G398" s="208"/>
    </row>
    <row r="400" spans="1:7" x14ac:dyDescent="0.25">
      <c r="A400">
        <v>2</v>
      </c>
      <c r="B400" s="210" t="s">
        <v>249</v>
      </c>
      <c r="C400" s="198"/>
      <c r="D400" s="520" t="s">
        <v>420</v>
      </c>
      <c r="E400" s="521" t="s">
        <v>286</v>
      </c>
      <c r="F400" s="521" t="s">
        <v>286</v>
      </c>
      <c r="G400" s="521" t="s">
        <v>286</v>
      </c>
    </row>
    <row r="401" spans="1:7" x14ac:dyDescent="0.25">
      <c r="B401" s="201" t="s">
        <v>278</v>
      </c>
      <c r="C401" s="628" t="s">
        <v>421</v>
      </c>
      <c r="D401" s="629"/>
      <c r="E401" s="629"/>
      <c r="F401" s="629"/>
      <c r="G401" s="630"/>
    </row>
    <row r="402" spans="1:7" x14ac:dyDescent="0.25">
      <c r="B402" s="201" t="s">
        <v>422</v>
      </c>
      <c r="C402" s="628"/>
      <c r="D402" s="629"/>
      <c r="E402" s="629"/>
      <c r="F402" s="629"/>
      <c r="G402" s="630"/>
    </row>
    <row r="403" spans="1:7" x14ac:dyDescent="0.25">
      <c r="B403" s="203"/>
      <c r="C403" s="628"/>
      <c r="D403" s="629"/>
      <c r="E403" s="629"/>
      <c r="F403" s="629"/>
      <c r="G403" s="630"/>
    </row>
    <row r="404" spans="1:7" ht="36.75" customHeight="1" x14ac:dyDescent="0.25">
      <c r="B404" s="206" t="s">
        <v>8</v>
      </c>
      <c r="C404" s="631"/>
      <c r="D404" s="632"/>
      <c r="E404" s="632"/>
      <c r="F404" s="632"/>
      <c r="G404" s="633"/>
    </row>
    <row r="406" spans="1:7" x14ac:dyDescent="0.25">
      <c r="A406">
        <v>2</v>
      </c>
      <c r="B406" s="210" t="s">
        <v>250</v>
      </c>
      <c r="C406" s="198"/>
      <c r="D406" s="199" t="s">
        <v>5</v>
      </c>
      <c r="E406" s="200" t="s">
        <v>286</v>
      </c>
      <c r="F406" s="200" t="s">
        <v>286</v>
      </c>
      <c r="G406" s="200" t="s">
        <v>286</v>
      </c>
    </row>
    <row r="407" spans="1:7" x14ac:dyDescent="0.25">
      <c r="B407" s="201" t="s">
        <v>278</v>
      </c>
      <c r="C407" s="626" t="s">
        <v>423</v>
      </c>
      <c r="D407" s="626"/>
      <c r="E407" s="626"/>
      <c r="F407" s="626"/>
      <c r="G407" s="627"/>
    </row>
    <row r="408" spans="1:7" x14ac:dyDescent="0.25">
      <c r="B408" s="201" t="s">
        <v>424</v>
      </c>
      <c r="C408" s="629"/>
      <c r="D408" s="629"/>
      <c r="E408" s="629"/>
      <c r="F408" s="629"/>
      <c r="G408" s="630"/>
    </row>
    <row r="409" spans="1:7" x14ac:dyDescent="0.25">
      <c r="B409" s="203"/>
      <c r="C409" s="629"/>
      <c r="D409" s="629"/>
      <c r="E409" s="629"/>
      <c r="F409" s="629"/>
      <c r="G409" s="630"/>
    </row>
    <row r="410" spans="1:7" ht="20.25" customHeight="1" x14ac:dyDescent="0.25">
      <c r="B410" s="206" t="s">
        <v>8</v>
      </c>
      <c r="C410" s="632"/>
      <c r="D410" s="632"/>
      <c r="E410" s="632"/>
      <c r="F410" s="632"/>
      <c r="G410" s="633"/>
    </row>
    <row r="424" spans="2:2" x14ac:dyDescent="0.25">
      <c r="B424" s="691" t="s">
        <v>487</v>
      </c>
    </row>
    <row r="425" spans="2:2" x14ac:dyDescent="0.25">
      <c r="B425" s="649"/>
    </row>
    <row r="426" spans="2:2" x14ac:dyDescent="0.25">
      <c r="B426" s="649"/>
    </row>
    <row r="427" spans="2:2" x14ac:dyDescent="0.25">
      <c r="B427" s="649"/>
    </row>
    <row r="428" spans="2:2" x14ac:dyDescent="0.25">
      <c r="B428" s="649"/>
    </row>
    <row r="429" spans="2:2" x14ac:dyDescent="0.25">
      <c r="B429" s="649"/>
    </row>
    <row r="430" spans="2:2" x14ac:dyDescent="0.25">
      <c r="B430" t="s">
        <v>283</v>
      </c>
    </row>
  </sheetData>
  <mergeCells count="56">
    <mergeCell ref="B7:G7"/>
    <mergeCell ref="C12:C13"/>
    <mergeCell ref="C24:G27"/>
    <mergeCell ref="C42:G44"/>
    <mergeCell ref="C60:G63"/>
    <mergeCell ref="C18:G21"/>
    <mergeCell ref="C36:G39"/>
    <mergeCell ref="C30:G33"/>
    <mergeCell ref="C48:C49"/>
    <mergeCell ref="C90:G92"/>
    <mergeCell ref="C104:C106"/>
    <mergeCell ref="C120:G120"/>
    <mergeCell ref="C142:G145"/>
    <mergeCell ref="B91:B92"/>
    <mergeCell ref="C136:G139"/>
    <mergeCell ref="C154:G157"/>
    <mergeCell ref="C203:G206"/>
    <mergeCell ref="C191:G194"/>
    <mergeCell ref="C185:C186"/>
    <mergeCell ref="C130:C131"/>
    <mergeCell ref="C160:G163"/>
    <mergeCell ref="C265:C267"/>
    <mergeCell ref="C197:G200"/>
    <mergeCell ref="C209:G212"/>
    <mergeCell ref="C227:G230"/>
    <mergeCell ref="C215:G218"/>
    <mergeCell ref="C253:G256"/>
    <mergeCell ref="B424:B429"/>
    <mergeCell ref="C371:G373"/>
    <mergeCell ref="C353:C355"/>
    <mergeCell ref="C341:C343"/>
    <mergeCell ref="C347:C349"/>
    <mergeCell ref="C389:G392"/>
    <mergeCell ref="C401:G404"/>
    <mergeCell ref="C407:G410"/>
    <mergeCell ref="C396:C397"/>
    <mergeCell ref="C359:C360"/>
    <mergeCell ref="C365:C366"/>
    <mergeCell ref="B372:B373"/>
    <mergeCell ref="B384:B385"/>
    <mergeCell ref="C301:G304"/>
    <mergeCell ref="C179:G182"/>
    <mergeCell ref="C377:G380"/>
    <mergeCell ref="C96:G99"/>
    <mergeCell ref="C78:G81"/>
    <mergeCell ref="C241:G244"/>
    <mergeCell ref="C271:G274"/>
    <mergeCell ref="C124:G127"/>
    <mergeCell ref="C166:G169"/>
    <mergeCell ref="C235:G238"/>
    <mergeCell ref="C283:C284"/>
    <mergeCell ref="C289:C291"/>
    <mergeCell ref="C316:G319"/>
    <mergeCell ref="C322:G325"/>
    <mergeCell ref="C328:G331"/>
    <mergeCell ref="C277:G280"/>
  </mergeCells>
  <hyperlinks>
    <hyperlink ref="B323" r:id="rId1" display="http://www.proeftuinnatura2000.nl/wp-content/uploads/2017/06/Optimaliseren-verhouding-energie-eiwit.pdf" xr:uid="{ECB3FA18-4B9A-4D1E-A769-C745FE77494A}"/>
    <hyperlink ref="B242" r:id="rId2" display="https://eur03.safelinks.protection.outlook.com/?url=https%3A%2F%2Fwww.landschapnoordholland.nl%2Fwaarom-kieviten-van-greppels-houden&amp;data=04%7C01%7C%7C5d00611d6312408f84dc08d91aa53fda%7Ccc9f232a985146b0b23e641d680590df%7C0%7C0%7C637570119303603491%7CUnknown%7CTWFpbGZsb3d8eyJWIjoiMC4wLjAwMDAiLCJQIjoiV2luMzIiLCJBTiI6Ik1haWwiLCJXVCI6Mn0%3D%7C1000&amp;sdata=PqJBxQauBdWgZBbSQjJXd9b%2BN1B8F817PcwSAbugmGQ%3D&amp;reserved=0" xr:uid="{FDFA936D-5508-4794-9A9B-DE11407AFF39}"/>
  </hyperlinks>
  <pageMargins left="0.7" right="0.7" top="0.75" bottom="0.75" header="0.3" footer="0.3"/>
  <pageSetup paperSize="9" orientation="portrait" horizontalDpi="4294967295" verticalDpi="4294967295"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B1D3-BAE4-4694-809E-44AFF31B4BD6}">
  <sheetPr codeName="Blad13">
    <tabColor theme="7" tint="0.59999389629810485"/>
  </sheetPr>
  <dimension ref="A1:Q366"/>
  <sheetViews>
    <sheetView topLeftCell="K1" zoomScale="70" zoomScaleNormal="70" workbookViewId="0">
      <selection activeCell="AH47" sqref="AH47"/>
    </sheetView>
  </sheetViews>
  <sheetFormatPr defaultRowHeight="15" x14ac:dyDescent="0.25"/>
  <cols>
    <col min="1" max="1" width="21.5703125" bestFit="1" customWidth="1"/>
    <col min="2" max="2" width="12.28515625" bestFit="1" customWidth="1"/>
    <col min="3" max="3" width="27.5703125" bestFit="1" customWidth="1"/>
    <col min="4" max="4" width="9.140625" customWidth="1"/>
    <col min="7" max="7" width="24.42578125" bestFit="1" customWidth="1"/>
    <col min="8" max="8" width="18.42578125" bestFit="1" customWidth="1"/>
    <col min="9" max="9" width="26.42578125" bestFit="1" customWidth="1"/>
    <col min="10" max="11" width="26.42578125" customWidth="1"/>
    <col min="12" max="12" width="26.5703125" customWidth="1"/>
    <col min="13" max="13" width="21.5703125" bestFit="1" customWidth="1"/>
    <col min="14" max="14" width="16.28515625" bestFit="1" customWidth="1"/>
    <col min="15" max="15" width="12.42578125" bestFit="1" customWidth="1"/>
    <col min="16" max="16" width="14.5703125" bestFit="1" customWidth="1"/>
    <col min="17" max="17" width="22.42578125" bestFit="1" customWidth="1"/>
  </cols>
  <sheetData>
    <row r="1" spans="1:17" x14ac:dyDescent="0.25">
      <c r="E1" t="s">
        <v>425</v>
      </c>
      <c r="F1" t="s">
        <v>426</v>
      </c>
      <c r="G1" t="s">
        <v>427</v>
      </c>
      <c r="H1" t="s">
        <v>428</v>
      </c>
      <c r="I1" t="s">
        <v>429</v>
      </c>
      <c r="J1" t="s">
        <v>430</v>
      </c>
      <c r="L1" s="446" t="s">
        <v>425</v>
      </c>
      <c r="M1" s="447" t="s">
        <v>64</v>
      </c>
      <c r="N1" s="446" t="s">
        <v>431</v>
      </c>
      <c r="O1" s="284"/>
      <c r="P1" s="284"/>
      <c r="Q1" s="284"/>
    </row>
    <row r="2" spans="1:17" x14ac:dyDescent="0.25">
      <c r="A2" t="s">
        <v>432</v>
      </c>
      <c r="C2" t="s">
        <v>433</v>
      </c>
      <c r="E2">
        <v>1</v>
      </c>
      <c r="F2">
        <v>1</v>
      </c>
      <c r="G2" s="285">
        <f>A3</f>
        <v>0</v>
      </c>
      <c r="H2" s="285">
        <f>G2*$C$5</f>
        <v>0</v>
      </c>
      <c r="I2" s="285">
        <f>H2+$C$3</f>
        <v>0</v>
      </c>
      <c r="J2" s="285"/>
      <c r="K2" s="285"/>
      <c r="L2" s="443">
        <v>1</v>
      </c>
      <c r="M2" s="448">
        <f t="shared" ref="M2:M19" si="0">IF($C$7*L2&lt;$A$3+1,$C$7,0)</f>
        <v>0</v>
      </c>
      <c r="N2" s="444">
        <f>IF(M2&gt;1,SUM(H2:H13),0)</f>
        <v>0</v>
      </c>
      <c r="O2" s="286"/>
      <c r="P2" s="286"/>
      <c r="Q2" s="286"/>
    </row>
    <row r="3" spans="1:17" x14ac:dyDescent="0.25">
      <c r="A3" s="287">
        <f>Transformatieblad!D9</f>
        <v>0</v>
      </c>
      <c r="B3" s="5"/>
      <c r="C3" s="5">
        <f>A3/A7/12</f>
        <v>0</v>
      </c>
      <c r="D3" s="5"/>
      <c r="E3" s="5"/>
      <c r="F3" s="288">
        <v>2</v>
      </c>
      <c r="G3" s="5">
        <f>G2-$C$3</f>
        <v>0</v>
      </c>
      <c r="H3" s="285">
        <f t="shared" ref="H3:H66" si="1">G3*$C$5</f>
        <v>0</v>
      </c>
      <c r="I3" s="285">
        <f t="shared" ref="I3:I66" si="2">H3+$C$3</f>
        <v>0</v>
      </c>
      <c r="J3" s="285"/>
      <c r="K3" s="285"/>
      <c r="L3" s="443">
        <v>2</v>
      </c>
      <c r="M3" s="448">
        <f t="shared" si="0"/>
        <v>0</v>
      </c>
      <c r="N3" s="444">
        <f>IF(M3&gt;1,SUM(H14:H25),0)</f>
        <v>0</v>
      </c>
      <c r="O3" s="286"/>
      <c r="P3" s="286"/>
      <c r="Q3" s="286"/>
    </row>
    <row r="4" spans="1:17" x14ac:dyDescent="0.25">
      <c r="A4" t="s">
        <v>434</v>
      </c>
      <c r="C4" t="s">
        <v>435</v>
      </c>
      <c r="F4">
        <v>3</v>
      </c>
      <c r="G4" s="5">
        <f t="shared" ref="G4:G67" si="3">G3-$C$3</f>
        <v>0</v>
      </c>
      <c r="H4" s="285">
        <f t="shared" si="1"/>
        <v>0</v>
      </c>
      <c r="I4" s="285">
        <f t="shared" si="2"/>
        <v>0</v>
      </c>
      <c r="J4" s="285"/>
      <c r="K4" s="285"/>
      <c r="L4" s="443">
        <v>3</v>
      </c>
      <c r="M4" s="448">
        <f t="shared" si="0"/>
        <v>0</v>
      </c>
      <c r="N4" s="444">
        <f>IF(M4&gt;1,SUM(H26:H37),0)</f>
        <v>0</v>
      </c>
      <c r="O4" s="286"/>
      <c r="P4" s="286"/>
      <c r="Q4" s="286"/>
    </row>
    <row r="5" spans="1:17" x14ac:dyDescent="0.25">
      <c r="A5" s="289">
        <f>Transformatieblad!E9</f>
        <v>0.03</v>
      </c>
      <c r="C5" s="290">
        <f>(A5+1)^(1/12)-1</f>
        <v>2.4662697723036864E-3</v>
      </c>
      <c r="F5">
        <v>4</v>
      </c>
      <c r="G5" s="5">
        <f t="shared" si="3"/>
        <v>0</v>
      </c>
      <c r="H5" s="285">
        <f t="shared" si="1"/>
        <v>0</v>
      </c>
      <c r="I5" s="285">
        <f t="shared" si="2"/>
        <v>0</v>
      </c>
      <c r="J5" s="285"/>
      <c r="K5" s="285"/>
      <c r="L5" s="443">
        <v>4</v>
      </c>
      <c r="M5" s="448">
        <f t="shared" si="0"/>
        <v>0</v>
      </c>
      <c r="N5" s="444">
        <f>IF(M5&gt;1,SUM(H38:H49),0)</f>
        <v>0</v>
      </c>
      <c r="O5" s="286"/>
      <c r="P5" s="286"/>
      <c r="Q5" s="286"/>
    </row>
    <row r="6" spans="1:17" x14ac:dyDescent="0.25">
      <c r="A6" t="s">
        <v>436</v>
      </c>
      <c r="C6" t="s">
        <v>64</v>
      </c>
      <c r="E6" s="296"/>
      <c r="F6">
        <v>5</v>
      </c>
      <c r="G6" s="5">
        <f t="shared" si="3"/>
        <v>0</v>
      </c>
      <c r="H6" s="285">
        <f t="shared" si="1"/>
        <v>0</v>
      </c>
      <c r="I6" s="285">
        <f t="shared" si="2"/>
        <v>0</v>
      </c>
      <c r="J6" s="285"/>
      <c r="K6" s="285"/>
      <c r="L6" s="443">
        <v>5</v>
      </c>
      <c r="M6" s="448">
        <f t="shared" si="0"/>
        <v>0</v>
      </c>
      <c r="N6" s="444">
        <f>IF(M6&gt;1,SUM(H50:H61),0)</f>
        <v>0</v>
      </c>
      <c r="O6" s="286"/>
      <c r="P6" s="286"/>
      <c r="Q6" s="286"/>
    </row>
    <row r="7" spans="1:17" x14ac:dyDescent="0.25">
      <c r="A7" s="291">
        <f>Transformatieblad!F9</f>
        <v>20</v>
      </c>
      <c r="C7" s="285">
        <f>C3*12</f>
        <v>0</v>
      </c>
      <c r="F7">
        <v>6</v>
      </c>
      <c r="G7" s="5">
        <f t="shared" si="3"/>
        <v>0</v>
      </c>
      <c r="H7" s="285">
        <f t="shared" si="1"/>
        <v>0</v>
      </c>
      <c r="I7" s="285">
        <f t="shared" si="2"/>
        <v>0</v>
      </c>
      <c r="J7" s="285"/>
      <c r="K7" s="285"/>
      <c r="L7" s="443">
        <v>6</v>
      </c>
      <c r="M7" s="448">
        <f t="shared" si="0"/>
        <v>0</v>
      </c>
      <c r="N7" s="444">
        <f>IF(M7&gt;1,SUM(H62:H73),0)</f>
        <v>0</v>
      </c>
      <c r="O7" s="286"/>
      <c r="P7" s="286"/>
      <c r="Q7" s="286"/>
    </row>
    <row r="8" spans="1:17" x14ac:dyDescent="0.25">
      <c r="F8">
        <v>7</v>
      </c>
      <c r="G8" s="5">
        <f t="shared" si="3"/>
        <v>0</v>
      </c>
      <c r="H8" s="285">
        <f t="shared" si="1"/>
        <v>0</v>
      </c>
      <c r="I8" s="285">
        <f t="shared" si="2"/>
        <v>0</v>
      </c>
      <c r="J8" s="285"/>
      <c r="K8" s="285"/>
      <c r="L8" s="443">
        <v>7</v>
      </c>
      <c r="M8" s="448">
        <f t="shared" si="0"/>
        <v>0</v>
      </c>
      <c r="N8" s="444">
        <f>IF(M8&gt;1,SUM(H74:H85),0)</f>
        <v>0</v>
      </c>
      <c r="O8" s="286"/>
      <c r="P8" s="286"/>
      <c r="Q8" s="286"/>
    </row>
    <row r="9" spans="1:17" x14ac:dyDescent="0.25">
      <c r="A9" s="284"/>
      <c r="B9" s="292"/>
      <c r="F9">
        <v>8</v>
      </c>
      <c r="G9" s="5">
        <f t="shared" si="3"/>
        <v>0</v>
      </c>
      <c r="H9" s="285">
        <f t="shared" si="1"/>
        <v>0</v>
      </c>
      <c r="I9" s="285">
        <f t="shared" si="2"/>
        <v>0</v>
      </c>
      <c r="L9" s="443">
        <v>8</v>
      </c>
      <c r="M9" s="448">
        <f t="shared" si="0"/>
        <v>0</v>
      </c>
      <c r="N9" s="444">
        <f>IF(M9&gt;1,SUM(H86:H97),0)</f>
        <v>0</v>
      </c>
      <c r="O9" s="286"/>
      <c r="P9" s="286"/>
      <c r="Q9" s="286"/>
    </row>
    <row r="10" spans="1:17" x14ac:dyDescent="0.25">
      <c r="A10" s="284"/>
      <c r="B10" s="284"/>
      <c r="F10">
        <v>9</v>
      </c>
      <c r="G10" s="5">
        <f t="shared" si="3"/>
        <v>0</v>
      </c>
      <c r="H10" s="285">
        <f t="shared" si="1"/>
        <v>0</v>
      </c>
      <c r="I10" s="285">
        <f t="shared" si="2"/>
        <v>0</v>
      </c>
      <c r="J10" s="285"/>
      <c r="K10" s="285"/>
      <c r="L10" s="443">
        <v>9</v>
      </c>
      <c r="M10" s="448">
        <f t="shared" si="0"/>
        <v>0</v>
      </c>
      <c r="N10" s="444">
        <f>IF(M10&gt;1,SUM(H98:H109),0)</f>
        <v>0</v>
      </c>
      <c r="O10" s="286"/>
      <c r="P10" s="286"/>
      <c r="Q10" s="286"/>
    </row>
    <row r="11" spans="1:17" x14ac:dyDescent="0.25">
      <c r="A11" s="284"/>
      <c r="B11" s="284"/>
      <c r="F11">
        <v>10</v>
      </c>
      <c r="G11" s="5">
        <f t="shared" si="3"/>
        <v>0</v>
      </c>
      <c r="H11" s="285">
        <f t="shared" si="1"/>
        <v>0</v>
      </c>
      <c r="I11" s="285">
        <f t="shared" si="2"/>
        <v>0</v>
      </c>
      <c r="J11" s="285"/>
      <c r="K11" s="285"/>
      <c r="L11" s="443">
        <v>10</v>
      </c>
      <c r="M11" s="448">
        <f t="shared" si="0"/>
        <v>0</v>
      </c>
      <c r="N11" s="444">
        <f>IF(M11&gt;1,SUM(H110:H121),0)</f>
        <v>0</v>
      </c>
      <c r="O11" s="286"/>
      <c r="P11" s="286"/>
      <c r="Q11" s="286"/>
    </row>
    <row r="12" spans="1:17" x14ac:dyDescent="0.25">
      <c r="A12" s="284"/>
      <c r="B12" s="293"/>
      <c r="F12">
        <v>11</v>
      </c>
      <c r="G12" s="5">
        <f t="shared" si="3"/>
        <v>0</v>
      </c>
      <c r="H12" s="285">
        <f t="shared" si="1"/>
        <v>0</v>
      </c>
      <c r="I12" s="285">
        <f t="shared" si="2"/>
        <v>0</v>
      </c>
      <c r="J12" s="285"/>
      <c r="K12" s="285"/>
      <c r="L12" s="443">
        <v>11</v>
      </c>
      <c r="M12" s="448">
        <f t="shared" si="0"/>
        <v>0</v>
      </c>
      <c r="N12" s="444">
        <f>IF(M12&gt;1,SUM(H122:H133),0)</f>
        <v>0</v>
      </c>
      <c r="O12" s="286"/>
      <c r="P12" s="286"/>
      <c r="Q12" s="286"/>
    </row>
    <row r="13" spans="1:17" x14ac:dyDescent="0.25">
      <c r="B13" s="294"/>
      <c r="F13">
        <v>12</v>
      </c>
      <c r="G13" s="5">
        <f t="shared" si="3"/>
        <v>0</v>
      </c>
      <c r="H13" s="285">
        <f t="shared" si="1"/>
        <v>0</v>
      </c>
      <c r="I13" s="285">
        <f t="shared" si="2"/>
        <v>0</v>
      </c>
      <c r="J13" s="285">
        <f>SUM(I2:I13)</f>
        <v>0</v>
      </c>
      <c r="K13" s="285"/>
      <c r="L13" s="443">
        <v>12</v>
      </c>
      <c r="M13" s="448">
        <f t="shared" si="0"/>
        <v>0</v>
      </c>
      <c r="N13" s="444">
        <f>IF(M13&gt;1,SUM(H134:H145),0)</f>
        <v>0</v>
      </c>
      <c r="O13" s="286"/>
      <c r="P13" s="286"/>
      <c r="Q13" s="286"/>
    </row>
    <row r="14" spans="1:17" x14ac:dyDescent="0.25">
      <c r="E14">
        <v>2</v>
      </c>
      <c r="F14">
        <v>1</v>
      </c>
      <c r="G14" s="5">
        <f t="shared" si="3"/>
        <v>0</v>
      </c>
      <c r="H14" s="285">
        <f t="shared" si="1"/>
        <v>0</v>
      </c>
      <c r="I14" s="285">
        <f t="shared" si="2"/>
        <v>0</v>
      </c>
      <c r="J14" s="285"/>
      <c r="K14" s="285"/>
      <c r="L14" s="443">
        <v>13</v>
      </c>
      <c r="M14" s="448">
        <f t="shared" si="0"/>
        <v>0</v>
      </c>
      <c r="N14" s="444">
        <f>IF(M14&gt;1,SUM(H146:H157),0)</f>
        <v>0</v>
      </c>
      <c r="O14" s="286"/>
      <c r="P14" s="286"/>
      <c r="Q14" s="286"/>
    </row>
    <row r="15" spans="1:17" x14ac:dyDescent="0.25">
      <c r="F15">
        <v>2</v>
      </c>
      <c r="G15" s="5">
        <f t="shared" si="3"/>
        <v>0</v>
      </c>
      <c r="H15" s="285">
        <f t="shared" si="1"/>
        <v>0</v>
      </c>
      <c r="I15" s="285">
        <f t="shared" si="2"/>
        <v>0</v>
      </c>
      <c r="J15" s="285"/>
      <c r="K15" s="285"/>
      <c r="L15" s="443">
        <v>14</v>
      </c>
      <c r="M15" s="448">
        <f t="shared" si="0"/>
        <v>0</v>
      </c>
      <c r="N15" s="444">
        <f>IF(M15&gt;1,SUM(H158:H169),0)</f>
        <v>0</v>
      </c>
      <c r="O15" s="286"/>
      <c r="P15" s="286"/>
      <c r="Q15" s="286"/>
    </row>
    <row r="16" spans="1:17" x14ac:dyDescent="0.25">
      <c r="F16">
        <v>3</v>
      </c>
      <c r="G16" s="5">
        <f t="shared" si="3"/>
        <v>0</v>
      </c>
      <c r="H16" s="285">
        <f t="shared" si="1"/>
        <v>0</v>
      </c>
      <c r="I16" s="285">
        <f t="shared" si="2"/>
        <v>0</v>
      </c>
      <c r="J16" s="285"/>
      <c r="K16" s="285"/>
      <c r="L16" s="443">
        <v>15</v>
      </c>
      <c r="M16" s="448">
        <f t="shared" si="0"/>
        <v>0</v>
      </c>
      <c r="N16" s="444">
        <f>IF(M16&gt;1,SUM(H170:H181),0)</f>
        <v>0</v>
      </c>
      <c r="O16" s="286"/>
      <c r="P16" s="286"/>
      <c r="Q16" s="286"/>
    </row>
    <row r="17" spans="5:17" x14ac:dyDescent="0.25">
      <c r="F17">
        <v>4</v>
      </c>
      <c r="G17" s="5">
        <f t="shared" si="3"/>
        <v>0</v>
      </c>
      <c r="H17" s="285">
        <f t="shared" si="1"/>
        <v>0</v>
      </c>
      <c r="I17" s="285">
        <f t="shared" si="2"/>
        <v>0</v>
      </c>
      <c r="J17" s="285"/>
      <c r="K17" s="285"/>
      <c r="L17" s="443">
        <v>16</v>
      </c>
      <c r="M17" s="448">
        <f t="shared" si="0"/>
        <v>0</v>
      </c>
      <c r="N17" s="444">
        <f>IF(M17&gt;1,SUM(H182:H193),0)</f>
        <v>0</v>
      </c>
      <c r="O17" s="286"/>
      <c r="P17" s="286"/>
      <c r="Q17" s="286"/>
    </row>
    <row r="18" spans="5:17" x14ac:dyDescent="0.25">
      <c r="F18">
        <v>5</v>
      </c>
      <c r="G18" s="5">
        <f t="shared" si="3"/>
        <v>0</v>
      </c>
      <c r="H18" s="285">
        <f t="shared" si="1"/>
        <v>0</v>
      </c>
      <c r="I18" s="285">
        <f t="shared" si="2"/>
        <v>0</v>
      </c>
      <c r="J18" s="285"/>
      <c r="K18" s="285"/>
      <c r="L18" s="443">
        <v>17</v>
      </c>
      <c r="M18" s="448">
        <f t="shared" si="0"/>
        <v>0</v>
      </c>
      <c r="N18" s="444">
        <f>IF(M18&gt;1,SUM(H194:H205),0)</f>
        <v>0</v>
      </c>
      <c r="O18" s="286"/>
      <c r="P18" s="286"/>
      <c r="Q18" s="286"/>
    </row>
    <row r="19" spans="5:17" x14ac:dyDescent="0.25">
      <c r="F19">
        <v>6</v>
      </c>
      <c r="G19" s="5">
        <f t="shared" si="3"/>
        <v>0</v>
      </c>
      <c r="H19" s="285">
        <f t="shared" si="1"/>
        <v>0</v>
      </c>
      <c r="I19" s="285">
        <f t="shared" si="2"/>
        <v>0</v>
      </c>
      <c r="J19" s="285"/>
      <c r="K19" s="285"/>
      <c r="L19" s="443">
        <v>18</v>
      </c>
      <c r="M19" s="448">
        <f t="shared" si="0"/>
        <v>0</v>
      </c>
      <c r="N19" s="444">
        <f>IF(M19&gt;1,SUM(H206:H217),0)</f>
        <v>0</v>
      </c>
      <c r="O19" s="286"/>
      <c r="P19" s="286"/>
      <c r="Q19" s="286"/>
    </row>
    <row r="20" spans="5:17" x14ac:dyDescent="0.25">
      <c r="F20">
        <v>7</v>
      </c>
      <c r="G20" s="5">
        <f t="shared" si="3"/>
        <v>0</v>
      </c>
      <c r="H20" s="285">
        <f t="shared" si="1"/>
        <v>0</v>
      </c>
      <c r="I20" s="285">
        <f t="shared" si="2"/>
        <v>0</v>
      </c>
      <c r="J20" s="285"/>
      <c r="K20" s="285"/>
      <c r="L20" s="443">
        <v>19</v>
      </c>
      <c r="M20" s="448">
        <f>IF($C$7*L20&lt;$A$3+1,$C$7,0)</f>
        <v>0</v>
      </c>
      <c r="N20" s="444">
        <f>IF(M20&gt;1,SUM(H218:H229),0)</f>
        <v>0</v>
      </c>
      <c r="O20" s="286"/>
      <c r="P20" s="286"/>
      <c r="Q20" s="286"/>
    </row>
    <row r="21" spans="5:17" x14ac:dyDescent="0.25">
      <c r="F21">
        <v>8</v>
      </c>
      <c r="G21" s="5">
        <f t="shared" si="3"/>
        <v>0</v>
      </c>
      <c r="H21" s="285">
        <f t="shared" si="1"/>
        <v>0</v>
      </c>
      <c r="I21" s="285">
        <f t="shared" si="2"/>
        <v>0</v>
      </c>
      <c r="J21" s="285"/>
      <c r="K21" s="285"/>
      <c r="L21" s="443">
        <v>20</v>
      </c>
      <c r="M21" s="448">
        <f t="shared" ref="M21:M31" si="4">IF($C$7*L21&lt;$A$3+1,$C$7,0)</f>
        <v>0</v>
      </c>
      <c r="N21" s="444">
        <f>IF(M21&gt;1,SUM(H230:H241),0)</f>
        <v>0</v>
      </c>
      <c r="O21" s="286"/>
      <c r="P21" s="286"/>
      <c r="Q21" s="286"/>
    </row>
    <row r="22" spans="5:17" x14ac:dyDescent="0.25">
      <c r="F22">
        <v>9</v>
      </c>
      <c r="G22" s="5">
        <f t="shared" si="3"/>
        <v>0</v>
      </c>
      <c r="H22" s="285">
        <f t="shared" si="1"/>
        <v>0</v>
      </c>
      <c r="I22" s="285">
        <f t="shared" si="2"/>
        <v>0</v>
      </c>
      <c r="J22" s="285"/>
      <c r="K22" s="285"/>
      <c r="L22" s="443">
        <v>21</v>
      </c>
      <c r="M22" s="448">
        <f t="shared" si="4"/>
        <v>0</v>
      </c>
      <c r="N22" s="444">
        <f>IF(M22&gt;1,SUM(H242:H253),0)</f>
        <v>0</v>
      </c>
      <c r="O22" s="295"/>
    </row>
    <row r="23" spans="5:17" x14ac:dyDescent="0.25">
      <c r="F23">
        <v>10</v>
      </c>
      <c r="G23" s="5">
        <f t="shared" si="3"/>
        <v>0</v>
      </c>
      <c r="H23" s="285">
        <f t="shared" si="1"/>
        <v>0</v>
      </c>
      <c r="I23" s="285">
        <f t="shared" si="2"/>
        <v>0</v>
      </c>
      <c r="J23" s="285"/>
      <c r="K23" s="285"/>
      <c r="L23" s="443">
        <v>22</v>
      </c>
      <c r="M23" s="448">
        <f t="shared" si="4"/>
        <v>0</v>
      </c>
      <c r="N23" s="444">
        <f>IF(M23&gt;1,SUM(H254:H265),0)</f>
        <v>0</v>
      </c>
    </row>
    <row r="24" spans="5:17" x14ac:dyDescent="0.25">
      <c r="F24">
        <v>11</v>
      </c>
      <c r="G24" s="5">
        <f t="shared" si="3"/>
        <v>0</v>
      </c>
      <c r="H24" s="285">
        <f t="shared" si="1"/>
        <v>0</v>
      </c>
      <c r="I24" s="285">
        <f t="shared" si="2"/>
        <v>0</v>
      </c>
      <c r="J24" s="285"/>
      <c r="K24" s="285"/>
      <c r="L24" s="443">
        <v>23</v>
      </c>
      <c r="M24" s="448">
        <f t="shared" si="4"/>
        <v>0</v>
      </c>
      <c r="N24" s="444">
        <f>IF(M24&gt;1,SUM(H266:H277),0)</f>
        <v>0</v>
      </c>
    </row>
    <row r="25" spans="5:17" x14ac:dyDescent="0.25">
      <c r="F25">
        <v>12</v>
      </c>
      <c r="G25" s="5">
        <f t="shared" si="3"/>
        <v>0</v>
      </c>
      <c r="H25" s="285">
        <f t="shared" si="1"/>
        <v>0</v>
      </c>
      <c r="I25" s="285">
        <f t="shared" si="2"/>
        <v>0</v>
      </c>
      <c r="J25" s="285">
        <f>SUM(I14:I25)</f>
        <v>0</v>
      </c>
      <c r="K25" s="285"/>
      <c r="L25" s="443">
        <v>24</v>
      </c>
      <c r="M25" s="448">
        <f t="shared" si="4"/>
        <v>0</v>
      </c>
      <c r="N25" s="444">
        <f>IF(M25&gt;1,SUM(H278:H289),0)</f>
        <v>0</v>
      </c>
    </row>
    <row r="26" spans="5:17" x14ac:dyDescent="0.25">
      <c r="E26">
        <v>3</v>
      </c>
      <c r="F26">
        <v>1</v>
      </c>
      <c r="G26" s="5">
        <f t="shared" si="3"/>
        <v>0</v>
      </c>
      <c r="H26" s="285">
        <f t="shared" si="1"/>
        <v>0</v>
      </c>
      <c r="I26" s="285">
        <f t="shared" si="2"/>
        <v>0</v>
      </c>
      <c r="J26" s="285"/>
      <c r="K26" s="285"/>
      <c r="L26" s="443">
        <v>25</v>
      </c>
      <c r="M26" s="448">
        <f t="shared" si="4"/>
        <v>0</v>
      </c>
      <c r="N26" s="444">
        <f>IF(M26&gt;1,SUM(H290:H301),0)</f>
        <v>0</v>
      </c>
    </row>
    <row r="27" spans="5:17" x14ac:dyDescent="0.25">
      <c r="F27">
        <v>2</v>
      </c>
      <c r="G27" s="5">
        <f t="shared" si="3"/>
        <v>0</v>
      </c>
      <c r="H27" s="285">
        <f t="shared" si="1"/>
        <v>0</v>
      </c>
      <c r="I27" s="285">
        <f t="shared" si="2"/>
        <v>0</v>
      </c>
      <c r="J27" s="285"/>
      <c r="K27" s="285"/>
      <c r="L27" s="443">
        <v>26</v>
      </c>
      <c r="M27" s="448">
        <f t="shared" si="4"/>
        <v>0</v>
      </c>
      <c r="N27" s="444">
        <f>IF(M27&gt;1,SUM(H302:H313),0)</f>
        <v>0</v>
      </c>
    </row>
    <row r="28" spans="5:17" x14ac:dyDescent="0.25">
      <c r="F28">
        <v>3</v>
      </c>
      <c r="G28" s="5">
        <f t="shared" si="3"/>
        <v>0</v>
      </c>
      <c r="H28" s="285">
        <f t="shared" si="1"/>
        <v>0</v>
      </c>
      <c r="I28" s="285">
        <f t="shared" si="2"/>
        <v>0</v>
      </c>
      <c r="J28" s="285"/>
      <c r="K28" s="285"/>
      <c r="L28" s="443">
        <v>27</v>
      </c>
      <c r="M28" s="448">
        <f t="shared" si="4"/>
        <v>0</v>
      </c>
      <c r="N28" s="444">
        <f>IF(M28&gt;1,SUM(H314:H325),0)</f>
        <v>0</v>
      </c>
    </row>
    <row r="29" spans="5:17" x14ac:dyDescent="0.25">
      <c r="F29">
        <v>4</v>
      </c>
      <c r="G29" s="5">
        <f t="shared" si="3"/>
        <v>0</v>
      </c>
      <c r="H29" s="285">
        <f t="shared" si="1"/>
        <v>0</v>
      </c>
      <c r="I29" s="285">
        <f t="shared" si="2"/>
        <v>0</v>
      </c>
      <c r="J29" s="285"/>
      <c r="K29" s="285"/>
      <c r="L29" s="443">
        <v>28</v>
      </c>
      <c r="M29" s="448">
        <f t="shared" si="4"/>
        <v>0</v>
      </c>
      <c r="N29" s="444">
        <f>IF(M29&gt;1,SUM(H326:H337),0)</f>
        <v>0</v>
      </c>
    </row>
    <row r="30" spans="5:17" x14ac:dyDescent="0.25">
      <c r="F30">
        <v>5</v>
      </c>
      <c r="G30" s="5">
        <f t="shared" si="3"/>
        <v>0</v>
      </c>
      <c r="H30" s="285">
        <f t="shared" si="1"/>
        <v>0</v>
      </c>
      <c r="I30" s="285">
        <f t="shared" si="2"/>
        <v>0</v>
      </c>
      <c r="J30" s="285"/>
      <c r="K30" s="285"/>
      <c r="L30" s="443">
        <v>29</v>
      </c>
      <c r="M30" s="448">
        <f t="shared" si="4"/>
        <v>0</v>
      </c>
      <c r="N30" s="444">
        <f>IF(M30&gt;1,SUM(H338:H349),0)</f>
        <v>0</v>
      </c>
    </row>
    <row r="31" spans="5:17" ht="15.75" thickBot="1" x14ac:dyDescent="0.3">
      <c r="F31">
        <v>6</v>
      </c>
      <c r="G31" s="5">
        <f t="shared" si="3"/>
        <v>0</v>
      </c>
      <c r="H31" s="285">
        <f t="shared" si="1"/>
        <v>0</v>
      </c>
      <c r="I31" s="285">
        <f t="shared" si="2"/>
        <v>0</v>
      </c>
      <c r="J31" s="285"/>
      <c r="K31" s="285"/>
      <c r="L31" s="450">
        <v>30</v>
      </c>
      <c r="M31" s="451">
        <f t="shared" si="4"/>
        <v>0</v>
      </c>
      <c r="N31" s="452">
        <f>IF(M31&gt;1,SUM(H350:H361),0)</f>
        <v>0</v>
      </c>
    </row>
    <row r="32" spans="5:17" ht="15.75" thickTop="1" x14ac:dyDescent="0.25">
      <c r="F32">
        <v>7</v>
      </c>
      <c r="G32" s="5">
        <f t="shared" si="3"/>
        <v>0</v>
      </c>
      <c r="H32" s="285">
        <f t="shared" si="1"/>
        <v>0</v>
      </c>
      <c r="I32" s="285">
        <f t="shared" si="2"/>
        <v>0</v>
      </c>
      <c r="J32" s="285"/>
      <c r="K32" s="285"/>
      <c r="L32" s="445" t="s">
        <v>8</v>
      </c>
      <c r="M32" s="449">
        <f>SUM(M2:M31)</f>
        <v>0</v>
      </c>
      <c r="N32" s="445">
        <f>SUM(N2:N31)</f>
        <v>0</v>
      </c>
    </row>
    <row r="33" spans="5:12" x14ac:dyDescent="0.25">
      <c r="F33">
        <v>8</v>
      </c>
      <c r="G33" s="5">
        <f t="shared" si="3"/>
        <v>0</v>
      </c>
      <c r="H33" s="285">
        <f t="shared" si="1"/>
        <v>0</v>
      </c>
      <c r="I33" s="285">
        <f t="shared" si="2"/>
        <v>0</v>
      </c>
      <c r="J33" s="285"/>
      <c r="K33" s="285"/>
      <c r="L33" s="285"/>
    </row>
    <row r="34" spans="5:12" x14ac:dyDescent="0.25">
      <c r="F34">
        <v>9</v>
      </c>
      <c r="G34" s="5">
        <f t="shared" si="3"/>
        <v>0</v>
      </c>
      <c r="H34" s="285">
        <f t="shared" si="1"/>
        <v>0</v>
      </c>
      <c r="I34" s="285">
        <f t="shared" si="2"/>
        <v>0</v>
      </c>
      <c r="J34" s="285"/>
      <c r="K34" s="285"/>
      <c r="L34" s="285"/>
    </row>
    <row r="35" spans="5:12" x14ac:dyDescent="0.25">
      <c r="F35">
        <v>10</v>
      </c>
      <c r="G35" s="5">
        <f t="shared" si="3"/>
        <v>0</v>
      </c>
      <c r="H35" s="285">
        <f t="shared" si="1"/>
        <v>0</v>
      </c>
      <c r="I35" s="285">
        <f t="shared" si="2"/>
        <v>0</v>
      </c>
      <c r="J35" s="285"/>
      <c r="K35" s="285"/>
      <c r="L35" s="285"/>
    </row>
    <row r="36" spans="5:12" x14ac:dyDescent="0.25">
      <c r="F36">
        <v>11</v>
      </c>
      <c r="G36" s="5">
        <f t="shared" si="3"/>
        <v>0</v>
      </c>
      <c r="H36" s="285">
        <f t="shared" si="1"/>
        <v>0</v>
      </c>
      <c r="I36" s="285">
        <f t="shared" si="2"/>
        <v>0</v>
      </c>
      <c r="J36" s="285"/>
      <c r="K36" s="285"/>
      <c r="L36" s="285"/>
    </row>
    <row r="37" spans="5:12" x14ac:dyDescent="0.25">
      <c r="F37">
        <v>12</v>
      </c>
      <c r="G37" s="5">
        <f t="shared" si="3"/>
        <v>0</v>
      </c>
      <c r="H37" s="285">
        <f t="shared" si="1"/>
        <v>0</v>
      </c>
      <c r="I37" s="285">
        <f t="shared" si="2"/>
        <v>0</v>
      </c>
      <c r="J37" s="285">
        <f>SUM(I26:I37)</f>
        <v>0</v>
      </c>
      <c r="K37" s="285"/>
      <c r="L37" s="285"/>
    </row>
    <row r="38" spans="5:12" x14ac:dyDescent="0.25">
      <c r="E38">
        <v>4</v>
      </c>
      <c r="F38">
        <v>1</v>
      </c>
      <c r="G38" s="5">
        <f t="shared" si="3"/>
        <v>0</v>
      </c>
      <c r="H38" s="285">
        <f t="shared" si="1"/>
        <v>0</v>
      </c>
      <c r="I38" s="285">
        <f t="shared" si="2"/>
        <v>0</v>
      </c>
      <c r="J38" s="285"/>
      <c r="K38" s="285"/>
      <c r="L38" s="285"/>
    </row>
    <row r="39" spans="5:12" x14ac:dyDescent="0.25">
      <c r="F39">
        <v>2</v>
      </c>
      <c r="G39" s="5">
        <f t="shared" si="3"/>
        <v>0</v>
      </c>
      <c r="H39" s="285">
        <f t="shared" si="1"/>
        <v>0</v>
      </c>
      <c r="I39" s="285">
        <f t="shared" si="2"/>
        <v>0</v>
      </c>
      <c r="J39" s="285"/>
      <c r="K39" s="285"/>
      <c r="L39" s="285"/>
    </row>
    <row r="40" spans="5:12" x14ac:dyDescent="0.25">
      <c r="F40">
        <v>3</v>
      </c>
      <c r="G40" s="5">
        <f t="shared" si="3"/>
        <v>0</v>
      </c>
      <c r="H40" s="285">
        <f t="shared" si="1"/>
        <v>0</v>
      </c>
      <c r="I40" s="285">
        <f t="shared" si="2"/>
        <v>0</v>
      </c>
      <c r="J40" s="285"/>
      <c r="K40" s="285"/>
      <c r="L40" s="285"/>
    </row>
    <row r="41" spans="5:12" x14ac:dyDescent="0.25">
      <c r="F41">
        <v>4</v>
      </c>
      <c r="G41" s="5">
        <f t="shared" si="3"/>
        <v>0</v>
      </c>
      <c r="H41" s="285">
        <f t="shared" si="1"/>
        <v>0</v>
      </c>
      <c r="I41" s="285">
        <f t="shared" si="2"/>
        <v>0</v>
      </c>
      <c r="J41" s="285"/>
      <c r="K41" s="285"/>
      <c r="L41" s="285"/>
    </row>
    <row r="42" spans="5:12" x14ac:dyDescent="0.25">
      <c r="F42">
        <v>5</v>
      </c>
      <c r="G42" s="5">
        <f t="shared" si="3"/>
        <v>0</v>
      </c>
      <c r="H42" s="285">
        <f t="shared" si="1"/>
        <v>0</v>
      </c>
      <c r="I42" s="285">
        <f t="shared" si="2"/>
        <v>0</v>
      </c>
      <c r="J42" s="285"/>
      <c r="K42" s="285"/>
      <c r="L42" s="285"/>
    </row>
    <row r="43" spans="5:12" x14ac:dyDescent="0.25">
      <c r="F43">
        <v>6</v>
      </c>
      <c r="G43" s="5">
        <f t="shared" si="3"/>
        <v>0</v>
      </c>
      <c r="H43" s="285">
        <f t="shared" si="1"/>
        <v>0</v>
      </c>
      <c r="I43" s="285">
        <f t="shared" si="2"/>
        <v>0</v>
      </c>
      <c r="J43" s="285"/>
      <c r="K43" s="285"/>
      <c r="L43" s="285"/>
    </row>
    <row r="44" spans="5:12" x14ac:dyDescent="0.25">
      <c r="F44">
        <v>7</v>
      </c>
      <c r="G44" s="5">
        <f t="shared" si="3"/>
        <v>0</v>
      </c>
      <c r="H44" s="285">
        <f t="shared" si="1"/>
        <v>0</v>
      </c>
      <c r="I44" s="285">
        <f t="shared" si="2"/>
        <v>0</v>
      </c>
      <c r="J44" s="285"/>
      <c r="K44" s="285"/>
      <c r="L44" s="285"/>
    </row>
    <row r="45" spans="5:12" x14ac:dyDescent="0.25">
      <c r="F45">
        <v>8</v>
      </c>
      <c r="G45" s="5">
        <f t="shared" si="3"/>
        <v>0</v>
      </c>
      <c r="H45" s="285">
        <f t="shared" si="1"/>
        <v>0</v>
      </c>
      <c r="I45" s="285">
        <f t="shared" si="2"/>
        <v>0</v>
      </c>
      <c r="J45" s="285"/>
      <c r="K45" s="285"/>
      <c r="L45" s="285"/>
    </row>
    <row r="46" spans="5:12" x14ac:dyDescent="0.25">
      <c r="F46">
        <v>9</v>
      </c>
      <c r="G46" s="5">
        <f t="shared" si="3"/>
        <v>0</v>
      </c>
      <c r="H46" s="285">
        <f t="shared" si="1"/>
        <v>0</v>
      </c>
      <c r="I46" s="285">
        <f t="shared" si="2"/>
        <v>0</v>
      </c>
      <c r="J46" s="285"/>
      <c r="K46" s="285"/>
      <c r="L46" s="285"/>
    </row>
    <row r="47" spans="5:12" x14ac:dyDescent="0.25">
      <c r="F47">
        <v>10</v>
      </c>
      <c r="G47" s="5">
        <f t="shared" si="3"/>
        <v>0</v>
      </c>
      <c r="H47" s="285">
        <f t="shared" si="1"/>
        <v>0</v>
      </c>
      <c r="I47" s="285">
        <f t="shared" si="2"/>
        <v>0</v>
      </c>
      <c r="J47" s="285"/>
      <c r="K47" s="285"/>
      <c r="L47" s="285"/>
    </row>
    <row r="48" spans="5:12" x14ac:dyDescent="0.25">
      <c r="F48">
        <v>11</v>
      </c>
      <c r="G48" s="5">
        <f t="shared" si="3"/>
        <v>0</v>
      </c>
      <c r="H48" s="285">
        <f t="shared" si="1"/>
        <v>0</v>
      </c>
      <c r="I48" s="285">
        <f t="shared" si="2"/>
        <v>0</v>
      </c>
      <c r="J48" s="285"/>
      <c r="K48" s="285"/>
      <c r="L48" s="285"/>
    </row>
    <row r="49" spans="5:12" x14ac:dyDescent="0.25">
      <c r="F49">
        <v>12</v>
      </c>
      <c r="G49" s="5">
        <f t="shared" si="3"/>
        <v>0</v>
      </c>
      <c r="H49" s="285">
        <f t="shared" si="1"/>
        <v>0</v>
      </c>
      <c r="I49" s="285">
        <f t="shared" si="2"/>
        <v>0</v>
      </c>
      <c r="J49" s="285">
        <f t="shared" ref="J49:J97" si="5">SUM(I38:I49)</f>
        <v>0</v>
      </c>
      <c r="K49" s="285"/>
      <c r="L49" s="285"/>
    </row>
    <row r="50" spans="5:12" x14ac:dyDescent="0.25">
      <c r="E50">
        <v>5</v>
      </c>
      <c r="F50">
        <v>1</v>
      </c>
      <c r="G50" s="5">
        <f t="shared" si="3"/>
        <v>0</v>
      </c>
      <c r="H50" s="285">
        <f t="shared" si="1"/>
        <v>0</v>
      </c>
      <c r="I50" s="285">
        <f t="shared" si="2"/>
        <v>0</v>
      </c>
      <c r="J50" s="285"/>
      <c r="K50" s="285"/>
      <c r="L50" s="285"/>
    </row>
    <row r="51" spans="5:12" x14ac:dyDescent="0.25">
      <c r="F51">
        <v>2</v>
      </c>
      <c r="G51" s="5">
        <f t="shared" si="3"/>
        <v>0</v>
      </c>
      <c r="H51" s="285">
        <f t="shared" si="1"/>
        <v>0</v>
      </c>
      <c r="I51" s="285">
        <f t="shared" si="2"/>
        <v>0</v>
      </c>
      <c r="J51" s="285"/>
      <c r="K51" s="285"/>
      <c r="L51" s="285"/>
    </row>
    <row r="52" spans="5:12" x14ac:dyDescent="0.25">
      <c r="F52">
        <v>3</v>
      </c>
      <c r="G52" s="5">
        <f t="shared" si="3"/>
        <v>0</v>
      </c>
      <c r="H52" s="285">
        <f t="shared" si="1"/>
        <v>0</v>
      </c>
      <c r="I52" s="285">
        <f t="shared" si="2"/>
        <v>0</v>
      </c>
      <c r="J52" s="285"/>
      <c r="K52" s="285"/>
      <c r="L52" s="285"/>
    </row>
    <row r="53" spans="5:12" x14ac:dyDescent="0.25">
      <c r="F53">
        <v>4</v>
      </c>
      <c r="G53" s="5">
        <f t="shared" si="3"/>
        <v>0</v>
      </c>
      <c r="H53" s="285">
        <f t="shared" si="1"/>
        <v>0</v>
      </c>
      <c r="I53" s="285">
        <f t="shared" si="2"/>
        <v>0</v>
      </c>
      <c r="J53" s="285"/>
      <c r="K53" s="285"/>
      <c r="L53" s="285"/>
    </row>
    <row r="54" spans="5:12" x14ac:dyDescent="0.25">
      <c r="F54">
        <v>5</v>
      </c>
      <c r="G54" s="5">
        <f t="shared" si="3"/>
        <v>0</v>
      </c>
      <c r="H54" s="285">
        <f t="shared" si="1"/>
        <v>0</v>
      </c>
      <c r="I54" s="285">
        <f t="shared" si="2"/>
        <v>0</v>
      </c>
      <c r="J54" s="285"/>
      <c r="K54" s="285"/>
      <c r="L54" s="285"/>
    </row>
    <row r="55" spans="5:12" x14ac:dyDescent="0.25">
      <c r="F55">
        <v>6</v>
      </c>
      <c r="G55" s="5">
        <f t="shared" si="3"/>
        <v>0</v>
      </c>
      <c r="H55" s="285">
        <f t="shared" si="1"/>
        <v>0</v>
      </c>
      <c r="I55" s="285">
        <f t="shared" si="2"/>
        <v>0</v>
      </c>
      <c r="J55" s="285"/>
      <c r="K55" s="285"/>
      <c r="L55" s="285"/>
    </row>
    <row r="56" spans="5:12" x14ac:dyDescent="0.25">
      <c r="F56">
        <v>7</v>
      </c>
      <c r="G56" s="5">
        <f t="shared" si="3"/>
        <v>0</v>
      </c>
      <c r="H56" s="285">
        <f t="shared" si="1"/>
        <v>0</v>
      </c>
      <c r="I56" s="285">
        <f t="shared" si="2"/>
        <v>0</v>
      </c>
      <c r="J56" s="285"/>
      <c r="K56" s="285"/>
      <c r="L56" s="285"/>
    </row>
    <row r="57" spans="5:12" x14ac:dyDescent="0.25">
      <c r="F57">
        <v>8</v>
      </c>
      <c r="G57" s="5">
        <f t="shared" si="3"/>
        <v>0</v>
      </c>
      <c r="H57" s="285">
        <f t="shared" si="1"/>
        <v>0</v>
      </c>
      <c r="I57" s="285">
        <f t="shared" si="2"/>
        <v>0</v>
      </c>
      <c r="J57" s="285"/>
      <c r="K57" s="285"/>
      <c r="L57" s="285"/>
    </row>
    <row r="58" spans="5:12" x14ac:dyDescent="0.25">
      <c r="F58">
        <v>9</v>
      </c>
      <c r="G58" s="5">
        <f t="shared" si="3"/>
        <v>0</v>
      </c>
      <c r="H58" s="285">
        <f t="shared" si="1"/>
        <v>0</v>
      </c>
      <c r="I58" s="285">
        <f t="shared" si="2"/>
        <v>0</v>
      </c>
      <c r="J58" s="285"/>
      <c r="K58" s="285"/>
      <c r="L58" s="285"/>
    </row>
    <row r="59" spans="5:12" x14ac:dyDescent="0.25">
      <c r="F59">
        <v>10</v>
      </c>
      <c r="G59" s="5">
        <f t="shared" si="3"/>
        <v>0</v>
      </c>
      <c r="H59" s="285">
        <f t="shared" si="1"/>
        <v>0</v>
      </c>
      <c r="I59" s="285">
        <f t="shared" si="2"/>
        <v>0</v>
      </c>
      <c r="J59" s="285"/>
      <c r="K59" s="285"/>
      <c r="L59" s="285"/>
    </row>
    <row r="60" spans="5:12" x14ac:dyDescent="0.25">
      <c r="F60">
        <v>11</v>
      </c>
      <c r="G60" s="5">
        <f t="shared" si="3"/>
        <v>0</v>
      </c>
      <c r="H60" s="285">
        <f t="shared" si="1"/>
        <v>0</v>
      </c>
      <c r="I60" s="285">
        <f t="shared" si="2"/>
        <v>0</v>
      </c>
      <c r="J60" s="285"/>
      <c r="K60" s="285"/>
      <c r="L60" s="285"/>
    </row>
    <row r="61" spans="5:12" x14ac:dyDescent="0.25">
      <c r="F61">
        <v>12</v>
      </c>
      <c r="G61" s="5">
        <f t="shared" si="3"/>
        <v>0</v>
      </c>
      <c r="H61" s="285">
        <f t="shared" si="1"/>
        <v>0</v>
      </c>
      <c r="I61" s="285">
        <f t="shared" si="2"/>
        <v>0</v>
      </c>
      <c r="J61" s="285">
        <f t="shared" si="5"/>
        <v>0</v>
      </c>
      <c r="K61" s="285"/>
      <c r="L61" s="285"/>
    </row>
    <row r="62" spans="5:12" x14ac:dyDescent="0.25">
      <c r="E62">
        <v>6</v>
      </c>
      <c r="F62">
        <v>1</v>
      </c>
      <c r="G62" s="5">
        <f t="shared" si="3"/>
        <v>0</v>
      </c>
      <c r="H62" s="285">
        <f t="shared" si="1"/>
        <v>0</v>
      </c>
      <c r="I62" s="285">
        <f t="shared" si="2"/>
        <v>0</v>
      </c>
      <c r="J62" s="285"/>
      <c r="K62" s="285"/>
      <c r="L62" s="285"/>
    </row>
    <row r="63" spans="5:12" x14ac:dyDescent="0.25">
      <c r="F63">
        <v>2</v>
      </c>
      <c r="G63" s="5">
        <f t="shared" si="3"/>
        <v>0</v>
      </c>
      <c r="H63" s="285">
        <f t="shared" si="1"/>
        <v>0</v>
      </c>
      <c r="I63" s="285">
        <f t="shared" si="2"/>
        <v>0</v>
      </c>
      <c r="J63" s="285"/>
      <c r="K63" s="285"/>
      <c r="L63" s="285"/>
    </row>
    <row r="64" spans="5:12" x14ac:dyDescent="0.25">
      <c r="F64">
        <v>3</v>
      </c>
      <c r="G64" s="5">
        <f t="shared" si="3"/>
        <v>0</v>
      </c>
      <c r="H64" s="285">
        <f t="shared" si="1"/>
        <v>0</v>
      </c>
      <c r="I64" s="285">
        <f t="shared" si="2"/>
        <v>0</v>
      </c>
      <c r="J64" s="285"/>
      <c r="K64" s="285"/>
      <c r="L64" s="285"/>
    </row>
    <row r="65" spans="5:12" x14ac:dyDescent="0.25">
      <c r="F65">
        <v>4</v>
      </c>
      <c r="G65" s="5">
        <f t="shared" si="3"/>
        <v>0</v>
      </c>
      <c r="H65" s="285">
        <f t="shared" si="1"/>
        <v>0</v>
      </c>
      <c r="I65" s="285">
        <f t="shared" si="2"/>
        <v>0</v>
      </c>
      <c r="J65" s="285"/>
      <c r="K65" s="285"/>
      <c r="L65" s="285"/>
    </row>
    <row r="66" spans="5:12" x14ac:dyDescent="0.25">
      <c r="F66">
        <v>5</v>
      </c>
      <c r="G66" s="5">
        <f t="shared" si="3"/>
        <v>0</v>
      </c>
      <c r="H66" s="285">
        <f t="shared" si="1"/>
        <v>0</v>
      </c>
      <c r="I66" s="285">
        <f t="shared" si="2"/>
        <v>0</v>
      </c>
      <c r="J66" s="285"/>
      <c r="K66" s="285"/>
      <c r="L66" s="285"/>
    </row>
    <row r="67" spans="5:12" x14ac:dyDescent="0.25">
      <c r="F67">
        <v>6</v>
      </c>
      <c r="G67" s="5">
        <f t="shared" si="3"/>
        <v>0</v>
      </c>
      <c r="H67" s="285">
        <f t="shared" ref="H67:H130" si="6">G67*$C$5</f>
        <v>0</v>
      </c>
      <c r="I67" s="285">
        <f t="shared" ref="I67:I130" si="7">H67+$C$3</f>
        <v>0</v>
      </c>
      <c r="J67" s="285"/>
      <c r="K67" s="285"/>
      <c r="L67" s="285"/>
    </row>
    <row r="68" spans="5:12" x14ac:dyDescent="0.25">
      <c r="F68">
        <v>7</v>
      </c>
      <c r="G68" s="5">
        <f t="shared" ref="G68:G131" si="8">G67-$C$3</f>
        <v>0</v>
      </c>
      <c r="H68" s="285">
        <f t="shared" si="6"/>
        <v>0</v>
      </c>
      <c r="I68" s="285">
        <f t="shared" si="7"/>
        <v>0</v>
      </c>
      <c r="J68" s="285"/>
      <c r="K68" s="285"/>
      <c r="L68" s="285"/>
    </row>
    <row r="69" spans="5:12" x14ac:dyDescent="0.25">
      <c r="F69">
        <v>8</v>
      </c>
      <c r="G69" s="5">
        <f t="shared" si="8"/>
        <v>0</v>
      </c>
      <c r="H69" s="285">
        <f t="shared" si="6"/>
        <v>0</v>
      </c>
      <c r="I69" s="285">
        <f t="shared" si="7"/>
        <v>0</v>
      </c>
      <c r="J69" s="285"/>
      <c r="K69" s="285"/>
      <c r="L69" s="285"/>
    </row>
    <row r="70" spans="5:12" x14ac:dyDescent="0.25">
      <c r="F70">
        <v>9</v>
      </c>
      <c r="G70" s="5">
        <f t="shared" si="8"/>
        <v>0</v>
      </c>
      <c r="H70" s="285">
        <f t="shared" si="6"/>
        <v>0</v>
      </c>
      <c r="I70" s="285">
        <f t="shared" si="7"/>
        <v>0</v>
      </c>
      <c r="J70" s="285"/>
      <c r="K70" s="285"/>
      <c r="L70" s="285"/>
    </row>
    <row r="71" spans="5:12" x14ac:dyDescent="0.25">
      <c r="F71">
        <v>10</v>
      </c>
      <c r="G71" s="5">
        <f t="shared" si="8"/>
        <v>0</v>
      </c>
      <c r="H71" s="285">
        <f t="shared" si="6"/>
        <v>0</v>
      </c>
      <c r="I71" s="285">
        <f t="shared" si="7"/>
        <v>0</v>
      </c>
      <c r="J71" s="285"/>
      <c r="K71" s="285"/>
      <c r="L71" s="285"/>
    </row>
    <row r="72" spans="5:12" x14ac:dyDescent="0.25">
      <c r="F72">
        <v>11</v>
      </c>
      <c r="G72" s="5">
        <f t="shared" si="8"/>
        <v>0</v>
      </c>
      <c r="H72" s="285">
        <f t="shared" si="6"/>
        <v>0</v>
      </c>
      <c r="I72" s="285">
        <f t="shared" si="7"/>
        <v>0</v>
      </c>
      <c r="J72" s="285"/>
      <c r="K72" s="285"/>
      <c r="L72" s="285"/>
    </row>
    <row r="73" spans="5:12" x14ac:dyDescent="0.25">
      <c r="F73">
        <v>12</v>
      </c>
      <c r="G73" s="5">
        <f t="shared" si="8"/>
        <v>0</v>
      </c>
      <c r="H73" s="285">
        <f t="shared" si="6"/>
        <v>0</v>
      </c>
      <c r="I73" s="285">
        <f t="shared" si="7"/>
        <v>0</v>
      </c>
      <c r="J73" s="285">
        <f t="shared" si="5"/>
        <v>0</v>
      </c>
      <c r="K73" s="285"/>
      <c r="L73" s="285"/>
    </row>
    <row r="74" spans="5:12" x14ac:dyDescent="0.25">
      <c r="E74">
        <v>7</v>
      </c>
      <c r="F74">
        <v>1</v>
      </c>
      <c r="G74" s="5">
        <f t="shared" si="8"/>
        <v>0</v>
      </c>
      <c r="H74" s="285">
        <f t="shared" si="6"/>
        <v>0</v>
      </c>
      <c r="I74" s="285">
        <f t="shared" si="7"/>
        <v>0</v>
      </c>
      <c r="J74" s="285"/>
      <c r="K74" s="285"/>
      <c r="L74" s="285"/>
    </row>
    <row r="75" spans="5:12" x14ac:dyDescent="0.25">
      <c r="F75">
        <v>2</v>
      </c>
      <c r="G75" s="5">
        <f t="shared" si="8"/>
        <v>0</v>
      </c>
      <c r="H75" s="285">
        <f t="shared" si="6"/>
        <v>0</v>
      </c>
      <c r="I75" s="285">
        <f t="shared" si="7"/>
        <v>0</v>
      </c>
      <c r="J75" s="285"/>
      <c r="K75" s="285"/>
      <c r="L75" s="285"/>
    </row>
    <row r="76" spans="5:12" x14ac:dyDescent="0.25">
      <c r="F76">
        <v>3</v>
      </c>
      <c r="G76" s="5">
        <f t="shared" si="8"/>
        <v>0</v>
      </c>
      <c r="H76" s="285">
        <f t="shared" si="6"/>
        <v>0</v>
      </c>
      <c r="I76" s="285">
        <f t="shared" si="7"/>
        <v>0</v>
      </c>
      <c r="J76" s="285"/>
      <c r="K76" s="285"/>
      <c r="L76" s="285"/>
    </row>
    <row r="77" spans="5:12" x14ac:dyDescent="0.25">
      <c r="F77">
        <v>4</v>
      </c>
      <c r="G77" s="5">
        <f t="shared" si="8"/>
        <v>0</v>
      </c>
      <c r="H77" s="285">
        <f t="shared" si="6"/>
        <v>0</v>
      </c>
      <c r="I77" s="285">
        <f t="shared" si="7"/>
        <v>0</v>
      </c>
      <c r="J77" s="285"/>
      <c r="K77" s="285"/>
      <c r="L77" s="285"/>
    </row>
    <row r="78" spans="5:12" x14ac:dyDescent="0.25">
      <c r="F78">
        <v>5</v>
      </c>
      <c r="G78" s="5">
        <f t="shared" si="8"/>
        <v>0</v>
      </c>
      <c r="H78" s="285">
        <f t="shared" si="6"/>
        <v>0</v>
      </c>
      <c r="I78" s="285">
        <f t="shared" si="7"/>
        <v>0</v>
      </c>
      <c r="J78" s="285"/>
      <c r="K78" s="285"/>
      <c r="L78" s="285"/>
    </row>
    <row r="79" spans="5:12" x14ac:dyDescent="0.25">
      <c r="F79">
        <v>6</v>
      </c>
      <c r="G79" s="5">
        <f t="shared" si="8"/>
        <v>0</v>
      </c>
      <c r="H79" s="285">
        <f t="shared" si="6"/>
        <v>0</v>
      </c>
      <c r="I79" s="285">
        <f t="shared" si="7"/>
        <v>0</v>
      </c>
      <c r="J79" s="285"/>
      <c r="K79" s="285"/>
      <c r="L79" s="285"/>
    </row>
    <row r="80" spans="5:12" x14ac:dyDescent="0.25">
      <c r="F80">
        <v>7</v>
      </c>
      <c r="G80" s="5">
        <f t="shared" si="8"/>
        <v>0</v>
      </c>
      <c r="H80" s="285">
        <f t="shared" si="6"/>
        <v>0</v>
      </c>
      <c r="I80" s="285">
        <f t="shared" si="7"/>
        <v>0</v>
      </c>
      <c r="J80" s="285"/>
      <c r="K80" s="285"/>
      <c r="L80" s="285"/>
    </row>
    <row r="81" spans="5:12" x14ac:dyDescent="0.25">
      <c r="F81">
        <v>8</v>
      </c>
      <c r="G81" s="5">
        <f t="shared" si="8"/>
        <v>0</v>
      </c>
      <c r="H81" s="285">
        <f t="shared" si="6"/>
        <v>0</v>
      </c>
      <c r="I81" s="285">
        <f t="shared" si="7"/>
        <v>0</v>
      </c>
      <c r="J81" s="285"/>
      <c r="K81" s="285"/>
      <c r="L81" s="285"/>
    </row>
    <row r="82" spans="5:12" x14ac:dyDescent="0.25">
      <c r="F82">
        <v>9</v>
      </c>
      <c r="G82" s="5">
        <f t="shared" si="8"/>
        <v>0</v>
      </c>
      <c r="H82" s="285">
        <f t="shared" si="6"/>
        <v>0</v>
      </c>
      <c r="I82" s="285">
        <f t="shared" si="7"/>
        <v>0</v>
      </c>
      <c r="J82" s="285"/>
      <c r="K82" s="285"/>
      <c r="L82" s="285"/>
    </row>
    <row r="83" spans="5:12" x14ac:dyDescent="0.25">
      <c r="F83">
        <v>10</v>
      </c>
      <c r="G83" s="5">
        <f t="shared" si="8"/>
        <v>0</v>
      </c>
      <c r="H83" s="285">
        <f t="shared" si="6"/>
        <v>0</v>
      </c>
      <c r="I83" s="285">
        <f t="shared" si="7"/>
        <v>0</v>
      </c>
      <c r="J83" s="285"/>
      <c r="K83" s="285"/>
      <c r="L83" s="285"/>
    </row>
    <row r="84" spans="5:12" x14ac:dyDescent="0.25">
      <c r="F84">
        <v>11</v>
      </c>
      <c r="G84" s="5">
        <f t="shared" si="8"/>
        <v>0</v>
      </c>
      <c r="H84" s="285">
        <f t="shared" si="6"/>
        <v>0</v>
      </c>
      <c r="I84" s="285">
        <f t="shared" si="7"/>
        <v>0</v>
      </c>
      <c r="J84" s="285"/>
      <c r="K84" s="285"/>
      <c r="L84" s="285"/>
    </row>
    <row r="85" spans="5:12" x14ac:dyDescent="0.25">
      <c r="F85">
        <v>12</v>
      </c>
      <c r="G85" s="5">
        <f t="shared" si="8"/>
        <v>0</v>
      </c>
      <c r="H85" s="285">
        <f t="shared" si="6"/>
        <v>0</v>
      </c>
      <c r="I85" s="285">
        <f t="shared" si="7"/>
        <v>0</v>
      </c>
      <c r="J85" s="285">
        <f t="shared" si="5"/>
        <v>0</v>
      </c>
      <c r="K85" s="285"/>
      <c r="L85" s="285"/>
    </row>
    <row r="86" spans="5:12" x14ac:dyDescent="0.25">
      <c r="E86">
        <v>8</v>
      </c>
      <c r="F86">
        <v>1</v>
      </c>
      <c r="G86" s="5">
        <f t="shared" si="8"/>
        <v>0</v>
      </c>
      <c r="H86" s="285">
        <f t="shared" si="6"/>
        <v>0</v>
      </c>
      <c r="I86" s="285">
        <f t="shared" si="7"/>
        <v>0</v>
      </c>
      <c r="J86" s="285"/>
      <c r="K86" s="285"/>
      <c r="L86" s="285"/>
    </row>
    <row r="87" spans="5:12" x14ac:dyDescent="0.25">
      <c r="F87">
        <v>2</v>
      </c>
      <c r="G87" s="5">
        <f t="shared" si="8"/>
        <v>0</v>
      </c>
      <c r="H87" s="285">
        <f t="shared" si="6"/>
        <v>0</v>
      </c>
      <c r="I87" s="285">
        <f t="shared" si="7"/>
        <v>0</v>
      </c>
      <c r="J87" s="285"/>
      <c r="K87" s="285"/>
      <c r="L87" s="285"/>
    </row>
    <row r="88" spans="5:12" x14ac:dyDescent="0.25">
      <c r="F88">
        <v>3</v>
      </c>
      <c r="G88" s="5">
        <f t="shared" si="8"/>
        <v>0</v>
      </c>
      <c r="H88" s="285">
        <f t="shared" si="6"/>
        <v>0</v>
      </c>
      <c r="I88" s="285">
        <f t="shared" si="7"/>
        <v>0</v>
      </c>
      <c r="J88" s="285"/>
      <c r="K88" s="285"/>
      <c r="L88" s="285"/>
    </row>
    <row r="89" spans="5:12" x14ac:dyDescent="0.25">
      <c r="F89">
        <v>4</v>
      </c>
      <c r="G89" s="5">
        <f t="shared" si="8"/>
        <v>0</v>
      </c>
      <c r="H89" s="285">
        <f t="shared" si="6"/>
        <v>0</v>
      </c>
      <c r="I89" s="285">
        <f t="shared" si="7"/>
        <v>0</v>
      </c>
      <c r="J89" s="285"/>
      <c r="K89" s="285"/>
      <c r="L89" s="285"/>
    </row>
    <row r="90" spans="5:12" x14ac:dyDescent="0.25">
      <c r="F90">
        <v>5</v>
      </c>
      <c r="G90" s="5">
        <f t="shared" si="8"/>
        <v>0</v>
      </c>
      <c r="H90" s="285">
        <f t="shared" si="6"/>
        <v>0</v>
      </c>
      <c r="I90" s="285">
        <f t="shared" si="7"/>
        <v>0</v>
      </c>
      <c r="J90" s="285"/>
      <c r="K90" s="285"/>
      <c r="L90" s="285"/>
    </row>
    <row r="91" spans="5:12" x14ac:dyDescent="0.25">
      <c r="F91">
        <v>6</v>
      </c>
      <c r="G91" s="5">
        <f t="shared" si="8"/>
        <v>0</v>
      </c>
      <c r="H91" s="285">
        <f t="shared" si="6"/>
        <v>0</v>
      </c>
      <c r="I91" s="285">
        <f t="shared" si="7"/>
        <v>0</v>
      </c>
      <c r="J91" s="285"/>
      <c r="K91" s="285"/>
      <c r="L91" s="285"/>
    </row>
    <row r="92" spans="5:12" x14ac:dyDescent="0.25">
      <c r="F92">
        <v>7</v>
      </c>
      <c r="G92" s="5">
        <f t="shared" si="8"/>
        <v>0</v>
      </c>
      <c r="H92" s="285">
        <f t="shared" si="6"/>
        <v>0</v>
      </c>
      <c r="I92" s="285">
        <f t="shared" si="7"/>
        <v>0</v>
      </c>
      <c r="J92" s="285"/>
      <c r="K92" s="285"/>
      <c r="L92" s="285"/>
    </row>
    <row r="93" spans="5:12" x14ac:dyDescent="0.25">
      <c r="F93">
        <v>8</v>
      </c>
      <c r="G93" s="5">
        <f t="shared" si="8"/>
        <v>0</v>
      </c>
      <c r="H93" s="285">
        <f t="shared" si="6"/>
        <v>0</v>
      </c>
      <c r="I93" s="285">
        <f t="shared" si="7"/>
        <v>0</v>
      </c>
      <c r="J93" s="285"/>
      <c r="K93" s="285"/>
      <c r="L93" s="285"/>
    </row>
    <row r="94" spans="5:12" x14ac:dyDescent="0.25">
      <c r="F94">
        <v>9</v>
      </c>
      <c r="G94" s="5">
        <f t="shared" si="8"/>
        <v>0</v>
      </c>
      <c r="H94" s="285">
        <f t="shared" si="6"/>
        <v>0</v>
      </c>
      <c r="I94" s="285">
        <f t="shared" si="7"/>
        <v>0</v>
      </c>
      <c r="J94" s="285"/>
      <c r="K94" s="285"/>
      <c r="L94" s="285"/>
    </row>
    <row r="95" spans="5:12" x14ac:dyDescent="0.25">
      <c r="F95">
        <v>10</v>
      </c>
      <c r="G95" s="5">
        <f t="shared" si="8"/>
        <v>0</v>
      </c>
      <c r="H95" s="285">
        <f t="shared" si="6"/>
        <v>0</v>
      </c>
      <c r="I95" s="285">
        <f t="shared" si="7"/>
        <v>0</v>
      </c>
      <c r="J95" s="285"/>
      <c r="K95" s="285"/>
      <c r="L95" s="285"/>
    </row>
    <row r="96" spans="5:12" x14ac:dyDescent="0.25">
      <c r="F96">
        <v>11</v>
      </c>
      <c r="G96" s="5">
        <f t="shared" si="8"/>
        <v>0</v>
      </c>
      <c r="H96" s="285">
        <f t="shared" si="6"/>
        <v>0</v>
      </c>
      <c r="I96" s="285">
        <f t="shared" si="7"/>
        <v>0</v>
      </c>
      <c r="J96" s="285"/>
      <c r="K96" s="285"/>
      <c r="L96" s="285"/>
    </row>
    <row r="97" spans="5:12" x14ac:dyDescent="0.25">
      <c r="F97">
        <v>12</v>
      </c>
      <c r="G97" s="5">
        <f t="shared" si="8"/>
        <v>0</v>
      </c>
      <c r="H97" s="285">
        <f t="shared" si="6"/>
        <v>0</v>
      </c>
      <c r="I97" s="285">
        <f t="shared" si="7"/>
        <v>0</v>
      </c>
      <c r="J97" s="285">
        <f t="shared" si="5"/>
        <v>0</v>
      </c>
      <c r="K97" s="285"/>
      <c r="L97" s="285"/>
    </row>
    <row r="98" spans="5:12" x14ac:dyDescent="0.25">
      <c r="E98">
        <v>9</v>
      </c>
      <c r="F98">
        <v>1</v>
      </c>
      <c r="G98" s="5">
        <f t="shared" si="8"/>
        <v>0</v>
      </c>
      <c r="H98" s="285">
        <f t="shared" si="6"/>
        <v>0</v>
      </c>
      <c r="I98" s="285">
        <f t="shared" si="7"/>
        <v>0</v>
      </c>
      <c r="J98" s="285"/>
      <c r="K98" s="285"/>
      <c r="L98" s="285"/>
    </row>
    <row r="99" spans="5:12" x14ac:dyDescent="0.25">
      <c r="F99">
        <v>2</v>
      </c>
      <c r="G99" s="5">
        <f t="shared" si="8"/>
        <v>0</v>
      </c>
      <c r="H99" s="285">
        <f t="shared" si="6"/>
        <v>0</v>
      </c>
      <c r="I99" s="285">
        <f t="shared" si="7"/>
        <v>0</v>
      </c>
      <c r="J99" s="285"/>
      <c r="K99" s="285"/>
      <c r="L99" s="285"/>
    </row>
    <row r="100" spans="5:12" x14ac:dyDescent="0.25">
      <c r="F100">
        <v>3</v>
      </c>
      <c r="G100" s="5">
        <f t="shared" si="8"/>
        <v>0</v>
      </c>
      <c r="H100" s="285">
        <f t="shared" si="6"/>
        <v>0</v>
      </c>
      <c r="I100" s="285">
        <f t="shared" si="7"/>
        <v>0</v>
      </c>
      <c r="J100" s="285"/>
      <c r="K100" s="285"/>
      <c r="L100" s="285"/>
    </row>
    <row r="101" spans="5:12" x14ac:dyDescent="0.25">
      <c r="F101">
        <v>4</v>
      </c>
      <c r="G101" s="5">
        <f t="shared" si="8"/>
        <v>0</v>
      </c>
      <c r="H101" s="285">
        <f t="shared" si="6"/>
        <v>0</v>
      </c>
      <c r="I101" s="285">
        <f t="shared" si="7"/>
        <v>0</v>
      </c>
      <c r="J101" s="285"/>
      <c r="K101" s="285"/>
      <c r="L101" s="285"/>
    </row>
    <row r="102" spans="5:12" x14ac:dyDescent="0.25">
      <c r="F102">
        <v>5</v>
      </c>
      <c r="G102" s="5">
        <f t="shared" si="8"/>
        <v>0</v>
      </c>
      <c r="H102" s="285">
        <f t="shared" si="6"/>
        <v>0</v>
      </c>
      <c r="I102" s="285">
        <f t="shared" si="7"/>
        <v>0</v>
      </c>
      <c r="J102" s="285"/>
      <c r="K102" s="285"/>
      <c r="L102" s="285"/>
    </row>
    <row r="103" spans="5:12" x14ac:dyDescent="0.25">
      <c r="F103">
        <v>6</v>
      </c>
      <c r="G103" s="5">
        <f t="shared" si="8"/>
        <v>0</v>
      </c>
      <c r="H103" s="285">
        <f t="shared" si="6"/>
        <v>0</v>
      </c>
      <c r="I103" s="285">
        <f t="shared" si="7"/>
        <v>0</v>
      </c>
      <c r="J103" s="285"/>
      <c r="K103" s="285"/>
      <c r="L103" s="285"/>
    </row>
    <row r="104" spans="5:12" x14ac:dyDescent="0.25">
      <c r="F104">
        <v>7</v>
      </c>
      <c r="G104" s="5">
        <f t="shared" si="8"/>
        <v>0</v>
      </c>
      <c r="H104" s="285">
        <f t="shared" si="6"/>
        <v>0</v>
      </c>
      <c r="I104" s="285">
        <f t="shared" si="7"/>
        <v>0</v>
      </c>
      <c r="J104" s="285"/>
      <c r="K104" s="285"/>
      <c r="L104" s="285"/>
    </row>
    <row r="105" spans="5:12" x14ac:dyDescent="0.25">
      <c r="F105">
        <v>8</v>
      </c>
      <c r="G105" s="5">
        <f t="shared" si="8"/>
        <v>0</v>
      </c>
      <c r="H105" s="285">
        <f t="shared" si="6"/>
        <v>0</v>
      </c>
      <c r="I105" s="285">
        <f t="shared" si="7"/>
        <v>0</v>
      </c>
      <c r="J105" s="285"/>
      <c r="K105" s="285"/>
      <c r="L105" s="285"/>
    </row>
    <row r="106" spans="5:12" x14ac:dyDescent="0.25">
      <c r="F106">
        <v>9</v>
      </c>
      <c r="G106" s="5">
        <f t="shared" si="8"/>
        <v>0</v>
      </c>
      <c r="H106" s="285">
        <f t="shared" si="6"/>
        <v>0</v>
      </c>
      <c r="I106" s="285">
        <f t="shared" si="7"/>
        <v>0</v>
      </c>
      <c r="J106" s="285"/>
      <c r="K106" s="285"/>
      <c r="L106" s="285"/>
    </row>
    <row r="107" spans="5:12" x14ac:dyDescent="0.25">
      <c r="F107">
        <v>10</v>
      </c>
      <c r="G107" s="5">
        <f t="shared" si="8"/>
        <v>0</v>
      </c>
      <c r="H107" s="285">
        <f t="shared" si="6"/>
        <v>0</v>
      </c>
      <c r="I107" s="285">
        <f t="shared" si="7"/>
        <v>0</v>
      </c>
      <c r="J107" s="285"/>
      <c r="K107" s="285"/>
      <c r="L107" s="285"/>
    </row>
    <row r="108" spans="5:12" x14ac:dyDescent="0.25">
      <c r="F108">
        <v>11</v>
      </c>
      <c r="G108" s="5">
        <f t="shared" si="8"/>
        <v>0</v>
      </c>
      <c r="H108" s="285">
        <f t="shared" si="6"/>
        <v>0</v>
      </c>
      <c r="I108" s="285">
        <f t="shared" si="7"/>
        <v>0</v>
      </c>
      <c r="J108" s="285"/>
      <c r="K108" s="285"/>
      <c r="L108" s="285"/>
    </row>
    <row r="109" spans="5:12" x14ac:dyDescent="0.25">
      <c r="F109">
        <v>12</v>
      </c>
      <c r="G109" s="5">
        <f t="shared" si="8"/>
        <v>0</v>
      </c>
      <c r="H109" s="285">
        <f t="shared" si="6"/>
        <v>0</v>
      </c>
      <c r="I109" s="285">
        <f t="shared" si="7"/>
        <v>0</v>
      </c>
      <c r="J109" s="285">
        <f t="shared" ref="J109:J157" si="9">SUM(I98:I109)</f>
        <v>0</v>
      </c>
      <c r="K109" s="285"/>
      <c r="L109" s="285"/>
    </row>
    <row r="110" spans="5:12" x14ac:dyDescent="0.25">
      <c r="E110">
        <v>10</v>
      </c>
      <c r="F110">
        <v>1</v>
      </c>
      <c r="G110" s="5">
        <f t="shared" si="8"/>
        <v>0</v>
      </c>
      <c r="H110" s="285">
        <f t="shared" si="6"/>
        <v>0</v>
      </c>
      <c r="I110" s="285">
        <f t="shared" si="7"/>
        <v>0</v>
      </c>
      <c r="J110" s="285"/>
      <c r="K110" s="285"/>
      <c r="L110" s="285"/>
    </row>
    <row r="111" spans="5:12" x14ac:dyDescent="0.25">
      <c r="F111">
        <v>2</v>
      </c>
      <c r="G111" s="5">
        <f t="shared" si="8"/>
        <v>0</v>
      </c>
      <c r="H111" s="285">
        <f t="shared" si="6"/>
        <v>0</v>
      </c>
      <c r="I111" s="285">
        <f t="shared" si="7"/>
        <v>0</v>
      </c>
      <c r="J111" s="285"/>
      <c r="K111" s="285"/>
      <c r="L111" s="285"/>
    </row>
    <row r="112" spans="5:12" x14ac:dyDescent="0.25">
      <c r="F112">
        <v>3</v>
      </c>
      <c r="G112" s="5">
        <f t="shared" si="8"/>
        <v>0</v>
      </c>
      <c r="H112" s="285">
        <f t="shared" si="6"/>
        <v>0</v>
      </c>
      <c r="I112" s="285">
        <f t="shared" si="7"/>
        <v>0</v>
      </c>
      <c r="J112" s="285"/>
      <c r="K112" s="285"/>
      <c r="L112" s="285"/>
    </row>
    <row r="113" spans="5:12" x14ac:dyDescent="0.25">
      <c r="F113">
        <v>4</v>
      </c>
      <c r="G113" s="5">
        <f t="shared" si="8"/>
        <v>0</v>
      </c>
      <c r="H113" s="285">
        <f t="shared" si="6"/>
        <v>0</v>
      </c>
      <c r="I113" s="285">
        <f t="shared" si="7"/>
        <v>0</v>
      </c>
      <c r="J113" s="285"/>
      <c r="K113" s="285"/>
      <c r="L113" s="285"/>
    </row>
    <row r="114" spans="5:12" x14ac:dyDescent="0.25">
      <c r="F114">
        <v>5</v>
      </c>
      <c r="G114" s="5">
        <f t="shared" si="8"/>
        <v>0</v>
      </c>
      <c r="H114" s="285">
        <f t="shared" si="6"/>
        <v>0</v>
      </c>
      <c r="I114" s="285">
        <f t="shared" si="7"/>
        <v>0</v>
      </c>
      <c r="J114" s="285"/>
      <c r="K114" s="285"/>
      <c r="L114" s="285"/>
    </row>
    <row r="115" spans="5:12" x14ac:dyDescent="0.25">
      <c r="F115">
        <v>6</v>
      </c>
      <c r="G115" s="5">
        <f t="shared" si="8"/>
        <v>0</v>
      </c>
      <c r="H115" s="285">
        <f t="shared" si="6"/>
        <v>0</v>
      </c>
      <c r="I115" s="285">
        <f t="shared" si="7"/>
        <v>0</v>
      </c>
      <c r="J115" s="285"/>
      <c r="K115" s="285"/>
      <c r="L115" s="285"/>
    </row>
    <row r="116" spans="5:12" x14ac:dyDescent="0.25">
      <c r="F116">
        <v>7</v>
      </c>
      <c r="G116" s="5">
        <f t="shared" si="8"/>
        <v>0</v>
      </c>
      <c r="H116" s="285">
        <f t="shared" si="6"/>
        <v>0</v>
      </c>
      <c r="I116" s="285">
        <f t="shared" si="7"/>
        <v>0</v>
      </c>
      <c r="J116" s="285"/>
      <c r="K116" s="285"/>
      <c r="L116" s="285"/>
    </row>
    <row r="117" spans="5:12" x14ac:dyDescent="0.25">
      <c r="F117">
        <v>8</v>
      </c>
      <c r="G117" s="5">
        <f t="shared" si="8"/>
        <v>0</v>
      </c>
      <c r="H117" s="285">
        <f t="shared" si="6"/>
        <v>0</v>
      </c>
      <c r="I117" s="285">
        <f t="shared" si="7"/>
        <v>0</v>
      </c>
      <c r="J117" s="285"/>
      <c r="K117" s="285"/>
      <c r="L117" s="285"/>
    </row>
    <row r="118" spans="5:12" x14ac:dyDescent="0.25">
      <c r="F118">
        <v>9</v>
      </c>
      <c r="G118" s="5">
        <f t="shared" si="8"/>
        <v>0</v>
      </c>
      <c r="H118" s="285">
        <f t="shared" si="6"/>
        <v>0</v>
      </c>
      <c r="I118" s="285">
        <f t="shared" si="7"/>
        <v>0</v>
      </c>
      <c r="J118" s="285"/>
      <c r="K118" s="285"/>
      <c r="L118" s="285"/>
    </row>
    <row r="119" spans="5:12" x14ac:dyDescent="0.25">
      <c r="F119">
        <v>10</v>
      </c>
      <c r="G119" s="5">
        <f t="shared" si="8"/>
        <v>0</v>
      </c>
      <c r="H119" s="285">
        <f t="shared" si="6"/>
        <v>0</v>
      </c>
      <c r="I119" s="285">
        <f t="shared" si="7"/>
        <v>0</v>
      </c>
      <c r="J119" s="285"/>
      <c r="K119" s="285"/>
      <c r="L119" s="285"/>
    </row>
    <row r="120" spans="5:12" x14ac:dyDescent="0.25">
      <c r="F120">
        <v>11</v>
      </c>
      <c r="G120" s="5">
        <f t="shared" si="8"/>
        <v>0</v>
      </c>
      <c r="H120" s="285">
        <f t="shared" si="6"/>
        <v>0</v>
      </c>
      <c r="I120" s="285">
        <f t="shared" si="7"/>
        <v>0</v>
      </c>
      <c r="J120" s="285"/>
      <c r="K120" s="285"/>
      <c r="L120" s="285"/>
    </row>
    <row r="121" spans="5:12" x14ac:dyDescent="0.25">
      <c r="F121">
        <v>12</v>
      </c>
      <c r="G121" s="5">
        <f t="shared" si="8"/>
        <v>0</v>
      </c>
      <c r="H121" s="285">
        <f t="shared" si="6"/>
        <v>0</v>
      </c>
      <c r="I121" s="285">
        <f t="shared" si="7"/>
        <v>0</v>
      </c>
      <c r="J121" s="285">
        <f t="shared" si="9"/>
        <v>0</v>
      </c>
      <c r="K121" s="285"/>
      <c r="L121" s="285"/>
    </row>
    <row r="122" spans="5:12" x14ac:dyDescent="0.25">
      <c r="E122">
        <v>11</v>
      </c>
      <c r="F122">
        <v>1</v>
      </c>
      <c r="G122" s="5">
        <f t="shared" si="8"/>
        <v>0</v>
      </c>
      <c r="H122" s="285">
        <f t="shared" si="6"/>
        <v>0</v>
      </c>
      <c r="I122" s="285">
        <f t="shared" si="7"/>
        <v>0</v>
      </c>
      <c r="J122" s="285"/>
      <c r="K122" s="285"/>
      <c r="L122" s="285"/>
    </row>
    <row r="123" spans="5:12" x14ac:dyDescent="0.25">
      <c r="F123">
        <v>2</v>
      </c>
      <c r="G123" s="5">
        <f t="shared" si="8"/>
        <v>0</v>
      </c>
      <c r="H123" s="285">
        <f t="shared" si="6"/>
        <v>0</v>
      </c>
      <c r="I123" s="285">
        <f t="shared" si="7"/>
        <v>0</v>
      </c>
      <c r="J123" s="285"/>
      <c r="K123" s="285"/>
      <c r="L123" s="285"/>
    </row>
    <row r="124" spans="5:12" x14ac:dyDescent="0.25">
      <c r="F124">
        <v>3</v>
      </c>
      <c r="G124" s="5">
        <f t="shared" si="8"/>
        <v>0</v>
      </c>
      <c r="H124" s="285">
        <f t="shared" si="6"/>
        <v>0</v>
      </c>
      <c r="I124" s="285">
        <f t="shared" si="7"/>
        <v>0</v>
      </c>
      <c r="J124" s="285"/>
      <c r="K124" s="285"/>
      <c r="L124" s="285"/>
    </row>
    <row r="125" spans="5:12" x14ac:dyDescent="0.25">
      <c r="F125">
        <v>4</v>
      </c>
      <c r="G125" s="5">
        <f t="shared" si="8"/>
        <v>0</v>
      </c>
      <c r="H125" s="285">
        <f t="shared" si="6"/>
        <v>0</v>
      </c>
      <c r="I125" s="285">
        <f t="shared" si="7"/>
        <v>0</v>
      </c>
      <c r="J125" s="285"/>
      <c r="K125" s="285"/>
      <c r="L125" s="285"/>
    </row>
    <row r="126" spans="5:12" x14ac:dyDescent="0.25">
      <c r="F126">
        <v>5</v>
      </c>
      <c r="G126" s="5">
        <f t="shared" si="8"/>
        <v>0</v>
      </c>
      <c r="H126" s="285">
        <f t="shared" si="6"/>
        <v>0</v>
      </c>
      <c r="I126" s="285">
        <f t="shared" si="7"/>
        <v>0</v>
      </c>
      <c r="J126" s="285"/>
      <c r="K126" s="285"/>
      <c r="L126" s="285"/>
    </row>
    <row r="127" spans="5:12" x14ac:dyDescent="0.25">
      <c r="F127">
        <v>6</v>
      </c>
      <c r="G127" s="5">
        <f t="shared" si="8"/>
        <v>0</v>
      </c>
      <c r="H127" s="285">
        <f t="shared" si="6"/>
        <v>0</v>
      </c>
      <c r="I127" s="285">
        <f t="shared" si="7"/>
        <v>0</v>
      </c>
      <c r="J127" s="285"/>
      <c r="K127" s="285"/>
      <c r="L127" s="285"/>
    </row>
    <row r="128" spans="5:12" x14ac:dyDescent="0.25">
      <c r="F128">
        <v>7</v>
      </c>
      <c r="G128" s="5">
        <f t="shared" si="8"/>
        <v>0</v>
      </c>
      <c r="H128" s="285">
        <f t="shared" si="6"/>
        <v>0</v>
      </c>
      <c r="I128" s="285">
        <f t="shared" si="7"/>
        <v>0</v>
      </c>
      <c r="J128" s="285"/>
      <c r="K128" s="285"/>
      <c r="L128" s="285"/>
    </row>
    <row r="129" spans="5:12" x14ac:dyDescent="0.25">
      <c r="F129">
        <v>8</v>
      </c>
      <c r="G129" s="5">
        <f t="shared" si="8"/>
        <v>0</v>
      </c>
      <c r="H129" s="285">
        <f t="shared" si="6"/>
        <v>0</v>
      </c>
      <c r="I129" s="285">
        <f t="shared" si="7"/>
        <v>0</v>
      </c>
      <c r="J129" s="285"/>
      <c r="K129" s="285"/>
      <c r="L129" s="285"/>
    </row>
    <row r="130" spans="5:12" x14ac:dyDescent="0.25">
      <c r="F130">
        <v>9</v>
      </c>
      <c r="G130" s="5">
        <f t="shared" si="8"/>
        <v>0</v>
      </c>
      <c r="H130" s="285">
        <f t="shared" si="6"/>
        <v>0</v>
      </c>
      <c r="I130" s="285">
        <f t="shared" si="7"/>
        <v>0</v>
      </c>
      <c r="J130" s="285"/>
      <c r="K130" s="285"/>
      <c r="L130" s="285"/>
    </row>
    <row r="131" spans="5:12" x14ac:dyDescent="0.25">
      <c r="F131">
        <v>10</v>
      </c>
      <c r="G131" s="5">
        <f t="shared" si="8"/>
        <v>0</v>
      </c>
      <c r="H131" s="285">
        <f t="shared" ref="H131:H194" si="10">G131*$C$5</f>
        <v>0</v>
      </c>
      <c r="I131" s="285">
        <f t="shared" ref="I131:I194" si="11">H131+$C$3</f>
        <v>0</v>
      </c>
      <c r="J131" s="285"/>
      <c r="K131" s="285"/>
      <c r="L131" s="285"/>
    </row>
    <row r="132" spans="5:12" x14ac:dyDescent="0.25">
      <c r="F132">
        <v>11</v>
      </c>
      <c r="G132" s="5">
        <f t="shared" ref="G132:G195" si="12">G131-$C$3</f>
        <v>0</v>
      </c>
      <c r="H132" s="285">
        <f t="shared" si="10"/>
        <v>0</v>
      </c>
      <c r="I132" s="285">
        <f t="shared" si="11"/>
        <v>0</v>
      </c>
      <c r="J132" s="285"/>
      <c r="K132" s="285"/>
      <c r="L132" s="285"/>
    </row>
    <row r="133" spans="5:12" x14ac:dyDescent="0.25">
      <c r="F133">
        <v>12</v>
      </c>
      <c r="G133" s="5">
        <f t="shared" si="12"/>
        <v>0</v>
      </c>
      <c r="H133" s="285">
        <f t="shared" si="10"/>
        <v>0</v>
      </c>
      <c r="I133" s="285">
        <f t="shared" si="11"/>
        <v>0</v>
      </c>
      <c r="J133" s="285">
        <f t="shared" si="9"/>
        <v>0</v>
      </c>
      <c r="K133" s="285"/>
      <c r="L133" s="285"/>
    </row>
    <row r="134" spans="5:12" x14ac:dyDescent="0.25">
      <c r="E134">
        <v>12</v>
      </c>
      <c r="F134">
        <v>1</v>
      </c>
      <c r="G134" s="5">
        <f t="shared" si="12"/>
        <v>0</v>
      </c>
      <c r="H134" s="285">
        <f t="shared" si="10"/>
        <v>0</v>
      </c>
      <c r="I134" s="285">
        <f t="shared" si="11"/>
        <v>0</v>
      </c>
      <c r="J134" s="285"/>
      <c r="K134" s="285"/>
      <c r="L134" s="285"/>
    </row>
    <row r="135" spans="5:12" x14ac:dyDescent="0.25">
      <c r="F135">
        <v>2</v>
      </c>
      <c r="G135" s="5">
        <f t="shared" si="12"/>
        <v>0</v>
      </c>
      <c r="H135" s="285">
        <f t="shared" si="10"/>
        <v>0</v>
      </c>
      <c r="I135" s="285">
        <f t="shared" si="11"/>
        <v>0</v>
      </c>
      <c r="J135" s="285"/>
      <c r="K135" s="285"/>
      <c r="L135" s="285"/>
    </row>
    <row r="136" spans="5:12" x14ac:dyDescent="0.25">
      <c r="F136">
        <v>3</v>
      </c>
      <c r="G136" s="5">
        <f t="shared" si="12"/>
        <v>0</v>
      </c>
      <c r="H136" s="285">
        <f t="shared" si="10"/>
        <v>0</v>
      </c>
      <c r="I136" s="285">
        <f t="shared" si="11"/>
        <v>0</v>
      </c>
      <c r="J136" s="285"/>
      <c r="K136" s="285"/>
      <c r="L136" s="285"/>
    </row>
    <row r="137" spans="5:12" x14ac:dyDescent="0.25">
      <c r="F137">
        <v>4</v>
      </c>
      <c r="G137" s="5">
        <f t="shared" si="12"/>
        <v>0</v>
      </c>
      <c r="H137" s="285">
        <f t="shared" si="10"/>
        <v>0</v>
      </c>
      <c r="I137" s="285">
        <f t="shared" si="11"/>
        <v>0</v>
      </c>
      <c r="J137" s="285"/>
      <c r="K137" s="285"/>
      <c r="L137" s="285"/>
    </row>
    <row r="138" spans="5:12" x14ac:dyDescent="0.25">
      <c r="F138">
        <v>5</v>
      </c>
      <c r="G138" s="5">
        <f t="shared" si="12"/>
        <v>0</v>
      </c>
      <c r="H138" s="285">
        <f t="shared" si="10"/>
        <v>0</v>
      </c>
      <c r="I138" s="285">
        <f t="shared" si="11"/>
        <v>0</v>
      </c>
      <c r="J138" s="285"/>
      <c r="K138" s="285"/>
      <c r="L138" s="285"/>
    </row>
    <row r="139" spans="5:12" x14ac:dyDescent="0.25">
      <c r="F139">
        <v>6</v>
      </c>
      <c r="G139" s="5">
        <f t="shared" si="12"/>
        <v>0</v>
      </c>
      <c r="H139" s="285">
        <f t="shared" si="10"/>
        <v>0</v>
      </c>
      <c r="I139" s="285">
        <f t="shared" si="11"/>
        <v>0</v>
      </c>
      <c r="J139" s="285"/>
      <c r="K139" s="285"/>
      <c r="L139" s="285"/>
    </row>
    <row r="140" spans="5:12" x14ac:dyDescent="0.25">
      <c r="F140">
        <v>7</v>
      </c>
      <c r="G140" s="5">
        <f t="shared" si="12"/>
        <v>0</v>
      </c>
      <c r="H140" s="285">
        <f t="shared" si="10"/>
        <v>0</v>
      </c>
      <c r="I140" s="285">
        <f t="shared" si="11"/>
        <v>0</v>
      </c>
      <c r="J140" s="285"/>
      <c r="K140" s="285"/>
      <c r="L140" s="285"/>
    </row>
    <row r="141" spans="5:12" x14ac:dyDescent="0.25">
      <c r="F141">
        <v>8</v>
      </c>
      <c r="G141" s="5">
        <f t="shared" si="12"/>
        <v>0</v>
      </c>
      <c r="H141" s="285">
        <f t="shared" si="10"/>
        <v>0</v>
      </c>
      <c r="I141" s="285">
        <f t="shared" si="11"/>
        <v>0</v>
      </c>
      <c r="J141" s="285"/>
      <c r="K141" s="285"/>
      <c r="L141" s="285"/>
    </row>
    <row r="142" spans="5:12" x14ac:dyDescent="0.25">
      <c r="F142">
        <v>9</v>
      </c>
      <c r="G142" s="5">
        <f t="shared" si="12"/>
        <v>0</v>
      </c>
      <c r="H142" s="285">
        <f t="shared" si="10"/>
        <v>0</v>
      </c>
      <c r="I142" s="285">
        <f t="shared" si="11"/>
        <v>0</v>
      </c>
      <c r="J142" s="285"/>
      <c r="K142" s="285"/>
      <c r="L142" s="285"/>
    </row>
    <row r="143" spans="5:12" x14ac:dyDescent="0.25">
      <c r="F143">
        <v>10</v>
      </c>
      <c r="G143" s="5">
        <f t="shared" si="12"/>
        <v>0</v>
      </c>
      <c r="H143" s="285">
        <f t="shared" si="10"/>
        <v>0</v>
      </c>
      <c r="I143" s="285">
        <f t="shared" si="11"/>
        <v>0</v>
      </c>
      <c r="J143" s="285"/>
      <c r="K143" s="285"/>
      <c r="L143" s="285"/>
    </row>
    <row r="144" spans="5:12" x14ac:dyDescent="0.25">
      <c r="F144">
        <v>11</v>
      </c>
      <c r="G144" s="5">
        <f t="shared" si="12"/>
        <v>0</v>
      </c>
      <c r="H144" s="285">
        <f t="shared" si="10"/>
        <v>0</v>
      </c>
      <c r="I144" s="285">
        <f t="shared" si="11"/>
        <v>0</v>
      </c>
      <c r="J144" s="285"/>
      <c r="K144" s="285"/>
      <c r="L144" s="285"/>
    </row>
    <row r="145" spans="5:12" x14ac:dyDescent="0.25">
      <c r="F145">
        <v>12</v>
      </c>
      <c r="G145" s="5">
        <f t="shared" si="12"/>
        <v>0</v>
      </c>
      <c r="H145" s="285">
        <f t="shared" si="10"/>
        <v>0</v>
      </c>
      <c r="I145" s="285">
        <f t="shared" si="11"/>
        <v>0</v>
      </c>
      <c r="J145" s="285">
        <f t="shared" si="9"/>
        <v>0</v>
      </c>
      <c r="K145" s="285"/>
      <c r="L145" s="285"/>
    </row>
    <row r="146" spans="5:12" x14ac:dyDescent="0.25">
      <c r="E146">
        <v>13</v>
      </c>
      <c r="F146">
        <v>1</v>
      </c>
      <c r="G146" s="5">
        <f t="shared" si="12"/>
        <v>0</v>
      </c>
      <c r="H146" s="285">
        <f t="shared" si="10"/>
        <v>0</v>
      </c>
      <c r="I146" s="285">
        <f t="shared" si="11"/>
        <v>0</v>
      </c>
      <c r="J146" s="285"/>
      <c r="K146" s="285"/>
      <c r="L146" s="285"/>
    </row>
    <row r="147" spans="5:12" x14ac:dyDescent="0.25">
      <c r="F147">
        <v>2</v>
      </c>
      <c r="G147" s="5">
        <f t="shared" si="12"/>
        <v>0</v>
      </c>
      <c r="H147" s="285">
        <f t="shared" si="10"/>
        <v>0</v>
      </c>
      <c r="I147" s="285">
        <f t="shared" si="11"/>
        <v>0</v>
      </c>
      <c r="J147" s="285"/>
      <c r="K147" s="285"/>
      <c r="L147" s="285"/>
    </row>
    <row r="148" spans="5:12" x14ac:dyDescent="0.25">
      <c r="F148">
        <v>3</v>
      </c>
      <c r="G148" s="5">
        <f t="shared" si="12"/>
        <v>0</v>
      </c>
      <c r="H148" s="285">
        <f t="shared" si="10"/>
        <v>0</v>
      </c>
      <c r="I148" s="285">
        <f t="shared" si="11"/>
        <v>0</v>
      </c>
      <c r="J148" s="285"/>
      <c r="K148" s="285"/>
      <c r="L148" s="285"/>
    </row>
    <row r="149" spans="5:12" x14ac:dyDescent="0.25">
      <c r="F149">
        <v>4</v>
      </c>
      <c r="G149" s="5">
        <f t="shared" si="12"/>
        <v>0</v>
      </c>
      <c r="H149" s="285">
        <f t="shared" si="10"/>
        <v>0</v>
      </c>
      <c r="I149" s="285">
        <f t="shared" si="11"/>
        <v>0</v>
      </c>
      <c r="J149" s="285"/>
      <c r="K149" s="285"/>
      <c r="L149" s="285"/>
    </row>
    <row r="150" spans="5:12" x14ac:dyDescent="0.25">
      <c r="F150">
        <v>5</v>
      </c>
      <c r="G150" s="5">
        <f t="shared" si="12"/>
        <v>0</v>
      </c>
      <c r="H150" s="285">
        <f t="shared" si="10"/>
        <v>0</v>
      </c>
      <c r="I150" s="285">
        <f t="shared" si="11"/>
        <v>0</v>
      </c>
      <c r="J150" s="285"/>
      <c r="K150" s="285"/>
      <c r="L150" s="285"/>
    </row>
    <row r="151" spans="5:12" x14ac:dyDescent="0.25">
      <c r="F151">
        <v>6</v>
      </c>
      <c r="G151" s="5">
        <f t="shared" si="12"/>
        <v>0</v>
      </c>
      <c r="H151" s="285">
        <f t="shared" si="10"/>
        <v>0</v>
      </c>
      <c r="I151" s="285">
        <f t="shared" si="11"/>
        <v>0</v>
      </c>
      <c r="J151" s="285"/>
      <c r="K151" s="285"/>
      <c r="L151" s="285"/>
    </row>
    <row r="152" spans="5:12" x14ac:dyDescent="0.25">
      <c r="F152">
        <v>7</v>
      </c>
      <c r="G152" s="5">
        <f t="shared" si="12"/>
        <v>0</v>
      </c>
      <c r="H152" s="285">
        <f t="shared" si="10"/>
        <v>0</v>
      </c>
      <c r="I152" s="285">
        <f t="shared" si="11"/>
        <v>0</v>
      </c>
      <c r="J152" s="285"/>
      <c r="K152" s="285"/>
      <c r="L152" s="285"/>
    </row>
    <row r="153" spans="5:12" x14ac:dyDescent="0.25">
      <c r="F153">
        <v>8</v>
      </c>
      <c r="G153" s="5">
        <f t="shared" si="12"/>
        <v>0</v>
      </c>
      <c r="H153" s="285">
        <f t="shared" si="10"/>
        <v>0</v>
      </c>
      <c r="I153" s="285">
        <f t="shared" si="11"/>
        <v>0</v>
      </c>
      <c r="J153" s="285"/>
      <c r="K153" s="285"/>
      <c r="L153" s="285"/>
    </row>
    <row r="154" spans="5:12" x14ac:dyDescent="0.25">
      <c r="F154">
        <v>9</v>
      </c>
      <c r="G154" s="5">
        <f t="shared" si="12"/>
        <v>0</v>
      </c>
      <c r="H154" s="285">
        <f t="shared" si="10"/>
        <v>0</v>
      </c>
      <c r="I154" s="285">
        <f t="shared" si="11"/>
        <v>0</v>
      </c>
      <c r="J154" s="285"/>
      <c r="K154" s="285"/>
      <c r="L154" s="285"/>
    </row>
    <row r="155" spans="5:12" x14ac:dyDescent="0.25">
      <c r="F155">
        <v>10</v>
      </c>
      <c r="G155" s="5">
        <f t="shared" si="12"/>
        <v>0</v>
      </c>
      <c r="H155" s="285">
        <f t="shared" si="10"/>
        <v>0</v>
      </c>
      <c r="I155" s="285">
        <f t="shared" si="11"/>
        <v>0</v>
      </c>
      <c r="J155" s="285"/>
      <c r="K155" s="285"/>
      <c r="L155" s="285"/>
    </row>
    <row r="156" spans="5:12" x14ac:dyDescent="0.25">
      <c r="F156">
        <v>11</v>
      </c>
      <c r="G156" s="5">
        <f t="shared" si="12"/>
        <v>0</v>
      </c>
      <c r="H156" s="285">
        <f t="shared" si="10"/>
        <v>0</v>
      </c>
      <c r="I156" s="285">
        <f t="shared" si="11"/>
        <v>0</v>
      </c>
      <c r="J156" s="285"/>
      <c r="K156" s="285"/>
      <c r="L156" s="285"/>
    </row>
    <row r="157" spans="5:12" x14ac:dyDescent="0.25">
      <c r="F157">
        <v>12</v>
      </c>
      <c r="G157" s="5">
        <f t="shared" si="12"/>
        <v>0</v>
      </c>
      <c r="H157" s="285">
        <f t="shared" si="10"/>
        <v>0</v>
      </c>
      <c r="I157" s="285">
        <f t="shared" si="11"/>
        <v>0</v>
      </c>
      <c r="J157" s="285">
        <f t="shared" si="9"/>
        <v>0</v>
      </c>
      <c r="K157" s="285"/>
      <c r="L157" s="285"/>
    </row>
    <row r="158" spans="5:12" x14ac:dyDescent="0.25">
      <c r="E158">
        <v>14</v>
      </c>
      <c r="F158">
        <v>1</v>
      </c>
      <c r="G158" s="5">
        <f t="shared" si="12"/>
        <v>0</v>
      </c>
      <c r="H158" s="285">
        <f t="shared" si="10"/>
        <v>0</v>
      </c>
      <c r="I158" s="285">
        <f t="shared" si="11"/>
        <v>0</v>
      </c>
      <c r="J158" s="285"/>
      <c r="K158" s="285"/>
      <c r="L158" s="285"/>
    </row>
    <row r="159" spans="5:12" x14ac:dyDescent="0.25">
      <c r="F159">
        <v>2</v>
      </c>
      <c r="G159" s="5">
        <f t="shared" si="12"/>
        <v>0</v>
      </c>
      <c r="H159" s="285">
        <f t="shared" si="10"/>
        <v>0</v>
      </c>
      <c r="I159" s="285">
        <f t="shared" si="11"/>
        <v>0</v>
      </c>
      <c r="J159" s="285"/>
      <c r="K159" s="285"/>
      <c r="L159" s="285"/>
    </row>
    <row r="160" spans="5:12" x14ac:dyDescent="0.25">
      <c r="F160">
        <v>3</v>
      </c>
      <c r="G160" s="5">
        <f t="shared" si="12"/>
        <v>0</v>
      </c>
      <c r="H160" s="285">
        <f t="shared" si="10"/>
        <v>0</v>
      </c>
      <c r="I160" s="285">
        <f t="shared" si="11"/>
        <v>0</v>
      </c>
      <c r="J160" s="285"/>
      <c r="K160" s="285"/>
      <c r="L160" s="285"/>
    </row>
    <row r="161" spans="5:12" x14ac:dyDescent="0.25">
      <c r="F161">
        <v>4</v>
      </c>
      <c r="G161" s="5">
        <f t="shared" si="12"/>
        <v>0</v>
      </c>
      <c r="H161" s="285">
        <f t="shared" si="10"/>
        <v>0</v>
      </c>
      <c r="I161" s="285">
        <f t="shared" si="11"/>
        <v>0</v>
      </c>
      <c r="J161" s="285"/>
      <c r="K161" s="285"/>
      <c r="L161" s="285"/>
    </row>
    <row r="162" spans="5:12" x14ac:dyDescent="0.25">
      <c r="F162">
        <v>5</v>
      </c>
      <c r="G162" s="5">
        <f t="shared" si="12"/>
        <v>0</v>
      </c>
      <c r="H162" s="285">
        <f t="shared" si="10"/>
        <v>0</v>
      </c>
      <c r="I162" s="285">
        <f t="shared" si="11"/>
        <v>0</v>
      </c>
      <c r="J162" s="285"/>
      <c r="K162" s="285"/>
      <c r="L162" s="285"/>
    </row>
    <row r="163" spans="5:12" x14ac:dyDescent="0.25">
      <c r="F163">
        <v>6</v>
      </c>
      <c r="G163" s="5">
        <f t="shared" si="12"/>
        <v>0</v>
      </c>
      <c r="H163" s="285">
        <f t="shared" si="10"/>
        <v>0</v>
      </c>
      <c r="I163" s="285">
        <f t="shared" si="11"/>
        <v>0</v>
      </c>
      <c r="J163" s="285"/>
      <c r="K163" s="285"/>
      <c r="L163" s="285"/>
    </row>
    <row r="164" spans="5:12" x14ac:dyDescent="0.25">
      <c r="F164">
        <v>7</v>
      </c>
      <c r="G164" s="5">
        <f t="shared" si="12"/>
        <v>0</v>
      </c>
      <c r="H164" s="285">
        <f t="shared" si="10"/>
        <v>0</v>
      </c>
      <c r="I164" s="285">
        <f t="shared" si="11"/>
        <v>0</v>
      </c>
      <c r="J164" s="285"/>
      <c r="K164" s="285"/>
      <c r="L164" s="285"/>
    </row>
    <row r="165" spans="5:12" x14ac:dyDescent="0.25">
      <c r="F165">
        <v>8</v>
      </c>
      <c r="G165" s="5">
        <f t="shared" si="12"/>
        <v>0</v>
      </c>
      <c r="H165" s="285">
        <f t="shared" si="10"/>
        <v>0</v>
      </c>
      <c r="I165" s="285">
        <f t="shared" si="11"/>
        <v>0</v>
      </c>
      <c r="J165" s="285"/>
      <c r="K165" s="285"/>
      <c r="L165" s="285"/>
    </row>
    <row r="166" spans="5:12" x14ac:dyDescent="0.25">
      <c r="F166">
        <v>9</v>
      </c>
      <c r="G166" s="5">
        <f t="shared" si="12"/>
        <v>0</v>
      </c>
      <c r="H166" s="285">
        <f t="shared" si="10"/>
        <v>0</v>
      </c>
      <c r="I166" s="285">
        <f t="shared" si="11"/>
        <v>0</v>
      </c>
      <c r="J166" s="285"/>
      <c r="K166" s="285"/>
      <c r="L166" s="285"/>
    </row>
    <row r="167" spans="5:12" x14ac:dyDescent="0.25">
      <c r="F167">
        <v>10</v>
      </c>
      <c r="G167" s="5">
        <f t="shared" si="12"/>
        <v>0</v>
      </c>
      <c r="H167" s="285">
        <f t="shared" si="10"/>
        <v>0</v>
      </c>
      <c r="I167" s="285">
        <f t="shared" si="11"/>
        <v>0</v>
      </c>
      <c r="J167" s="285"/>
      <c r="K167" s="285"/>
      <c r="L167" s="285"/>
    </row>
    <row r="168" spans="5:12" x14ac:dyDescent="0.25">
      <c r="F168">
        <v>11</v>
      </c>
      <c r="G168" s="5">
        <f t="shared" si="12"/>
        <v>0</v>
      </c>
      <c r="H168" s="285">
        <f t="shared" si="10"/>
        <v>0</v>
      </c>
      <c r="I168" s="285">
        <f t="shared" si="11"/>
        <v>0</v>
      </c>
      <c r="J168" s="285"/>
      <c r="K168" s="285"/>
      <c r="L168" s="285"/>
    </row>
    <row r="169" spans="5:12" x14ac:dyDescent="0.25">
      <c r="F169">
        <v>12</v>
      </c>
      <c r="G169" s="5">
        <f t="shared" si="12"/>
        <v>0</v>
      </c>
      <c r="H169" s="285">
        <f t="shared" si="10"/>
        <v>0</v>
      </c>
      <c r="I169" s="285">
        <f t="shared" si="11"/>
        <v>0</v>
      </c>
      <c r="J169" s="285">
        <f t="shared" ref="J169:J229" si="13">SUM(I158:I169)</f>
        <v>0</v>
      </c>
      <c r="K169" s="285"/>
      <c r="L169" s="285"/>
    </row>
    <row r="170" spans="5:12" x14ac:dyDescent="0.25">
      <c r="E170">
        <v>15</v>
      </c>
      <c r="F170">
        <v>1</v>
      </c>
      <c r="G170" s="5">
        <f t="shared" si="12"/>
        <v>0</v>
      </c>
      <c r="H170" s="285">
        <f t="shared" si="10"/>
        <v>0</v>
      </c>
      <c r="I170" s="285">
        <f t="shared" si="11"/>
        <v>0</v>
      </c>
      <c r="J170" s="285"/>
      <c r="K170" s="285"/>
      <c r="L170" s="285"/>
    </row>
    <row r="171" spans="5:12" x14ac:dyDescent="0.25">
      <c r="F171">
        <v>2</v>
      </c>
      <c r="G171" s="5">
        <f t="shared" si="12"/>
        <v>0</v>
      </c>
      <c r="H171" s="285">
        <f t="shared" si="10"/>
        <v>0</v>
      </c>
      <c r="I171" s="285">
        <f t="shared" si="11"/>
        <v>0</v>
      </c>
      <c r="J171" s="285"/>
      <c r="K171" s="285"/>
      <c r="L171" s="285"/>
    </row>
    <row r="172" spans="5:12" x14ac:dyDescent="0.25">
      <c r="F172">
        <v>3</v>
      </c>
      <c r="G172" s="5">
        <f t="shared" si="12"/>
        <v>0</v>
      </c>
      <c r="H172" s="285">
        <f t="shared" si="10"/>
        <v>0</v>
      </c>
      <c r="I172" s="285">
        <f t="shared" si="11"/>
        <v>0</v>
      </c>
      <c r="J172" s="285"/>
      <c r="K172" s="285"/>
      <c r="L172" s="285"/>
    </row>
    <row r="173" spans="5:12" x14ac:dyDescent="0.25">
      <c r="F173">
        <v>4</v>
      </c>
      <c r="G173" s="5">
        <f t="shared" si="12"/>
        <v>0</v>
      </c>
      <c r="H173" s="285">
        <f t="shared" si="10"/>
        <v>0</v>
      </c>
      <c r="I173" s="285">
        <f t="shared" si="11"/>
        <v>0</v>
      </c>
      <c r="J173" s="285"/>
      <c r="K173" s="285"/>
      <c r="L173" s="285"/>
    </row>
    <row r="174" spans="5:12" x14ac:dyDescent="0.25">
      <c r="F174">
        <v>5</v>
      </c>
      <c r="G174" s="5">
        <f t="shared" si="12"/>
        <v>0</v>
      </c>
      <c r="H174" s="285">
        <f t="shared" si="10"/>
        <v>0</v>
      </c>
      <c r="I174" s="285">
        <f t="shared" si="11"/>
        <v>0</v>
      </c>
      <c r="J174" s="285"/>
      <c r="K174" s="285"/>
      <c r="L174" s="285"/>
    </row>
    <row r="175" spans="5:12" x14ac:dyDescent="0.25">
      <c r="F175">
        <v>6</v>
      </c>
      <c r="G175" s="5">
        <f t="shared" si="12"/>
        <v>0</v>
      </c>
      <c r="H175" s="285">
        <f t="shared" si="10"/>
        <v>0</v>
      </c>
      <c r="I175" s="285">
        <f t="shared" si="11"/>
        <v>0</v>
      </c>
      <c r="J175" s="285"/>
      <c r="K175" s="285"/>
      <c r="L175" s="285"/>
    </row>
    <row r="176" spans="5:12" x14ac:dyDescent="0.25">
      <c r="F176">
        <v>7</v>
      </c>
      <c r="G176" s="5">
        <f t="shared" si="12"/>
        <v>0</v>
      </c>
      <c r="H176" s="285">
        <f t="shared" si="10"/>
        <v>0</v>
      </c>
      <c r="I176" s="285">
        <f t="shared" si="11"/>
        <v>0</v>
      </c>
      <c r="J176" s="285"/>
      <c r="K176" s="285"/>
      <c r="L176" s="285"/>
    </row>
    <row r="177" spans="5:12" x14ac:dyDescent="0.25">
      <c r="F177">
        <v>8</v>
      </c>
      <c r="G177" s="5">
        <f t="shared" si="12"/>
        <v>0</v>
      </c>
      <c r="H177" s="285">
        <f t="shared" si="10"/>
        <v>0</v>
      </c>
      <c r="I177" s="285">
        <f t="shared" si="11"/>
        <v>0</v>
      </c>
      <c r="J177" s="285"/>
      <c r="K177" s="285"/>
      <c r="L177" s="285"/>
    </row>
    <row r="178" spans="5:12" x14ac:dyDescent="0.25">
      <c r="F178">
        <v>9</v>
      </c>
      <c r="G178" s="5">
        <f t="shared" si="12"/>
        <v>0</v>
      </c>
      <c r="H178" s="285">
        <f t="shared" si="10"/>
        <v>0</v>
      </c>
      <c r="I178" s="285">
        <f t="shared" si="11"/>
        <v>0</v>
      </c>
      <c r="J178" s="285"/>
      <c r="K178" s="285"/>
      <c r="L178" s="285"/>
    </row>
    <row r="179" spans="5:12" x14ac:dyDescent="0.25">
      <c r="F179">
        <v>10</v>
      </c>
      <c r="G179" s="5">
        <f t="shared" si="12"/>
        <v>0</v>
      </c>
      <c r="H179" s="285">
        <f t="shared" si="10"/>
        <v>0</v>
      </c>
      <c r="I179" s="285">
        <f t="shared" si="11"/>
        <v>0</v>
      </c>
      <c r="J179" s="285"/>
      <c r="K179" s="285"/>
      <c r="L179" s="285"/>
    </row>
    <row r="180" spans="5:12" x14ac:dyDescent="0.25">
      <c r="F180">
        <v>11</v>
      </c>
      <c r="G180" s="5">
        <f t="shared" si="12"/>
        <v>0</v>
      </c>
      <c r="H180" s="285">
        <f t="shared" si="10"/>
        <v>0</v>
      </c>
      <c r="I180" s="285">
        <f t="shared" si="11"/>
        <v>0</v>
      </c>
      <c r="J180" s="285"/>
      <c r="K180" s="285"/>
      <c r="L180" s="285"/>
    </row>
    <row r="181" spans="5:12" x14ac:dyDescent="0.25">
      <c r="F181">
        <v>12</v>
      </c>
      <c r="G181" s="5">
        <f t="shared" si="12"/>
        <v>0</v>
      </c>
      <c r="H181" s="285">
        <f t="shared" si="10"/>
        <v>0</v>
      </c>
      <c r="I181" s="285">
        <f t="shared" si="11"/>
        <v>0</v>
      </c>
      <c r="J181" s="285">
        <f t="shared" si="13"/>
        <v>0</v>
      </c>
      <c r="K181" s="285"/>
      <c r="L181" s="285"/>
    </row>
    <row r="182" spans="5:12" x14ac:dyDescent="0.25">
      <c r="E182">
        <v>16</v>
      </c>
      <c r="F182">
        <v>1</v>
      </c>
      <c r="G182" s="5">
        <f t="shared" si="12"/>
        <v>0</v>
      </c>
      <c r="H182" s="285">
        <f t="shared" si="10"/>
        <v>0</v>
      </c>
      <c r="I182" s="285">
        <f t="shared" si="11"/>
        <v>0</v>
      </c>
      <c r="J182" s="285"/>
      <c r="K182" s="285"/>
      <c r="L182" s="285"/>
    </row>
    <row r="183" spans="5:12" x14ac:dyDescent="0.25">
      <c r="F183">
        <v>2</v>
      </c>
      <c r="G183" s="5">
        <f t="shared" si="12"/>
        <v>0</v>
      </c>
      <c r="H183" s="285">
        <f t="shared" si="10"/>
        <v>0</v>
      </c>
      <c r="I183" s="285">
        <f t="shared" si="11"/>
        <v>0</v>
      </c>
      <c r="J183" s="285"/>
      <c r="K183" s="285"/>
      <c r="L183" s="285"/>
    </row>
    <row r="184" spans="5:12" x14ac:dyDescent="0.25">
      <c r="F184">
        <v>3</v>
      </c>
      <c r="G184" s="5">
        <f t="shared" si="12"/>
        <v>0</v>
      </c>
      <c r="H184" s="285">
        <f t="shared" si="10"/>
        <v>0</v>
      </c>
      <c r="I184" s="285">
        <f t="shared" si="11"/>
        <v>0</v>
      </c>
      <c r="J184" s="285"/>
      <c r="K184" s="285"/>
      <c r="L184" s="285"/>
    </row>
    <row r="185" spans="5:12" x14ac:dyDescent="0.25">
      <c r="F185">
        <v>4</v>
      </c>
      <c r="G185" s="5">
        <f t="shared" si="12"/>
        <v>0</v>
      </c>
      <c r="H185" s="285">
        <f t="shared" si="10"/>
        <v>0</v>
      </c>
      <c r="I185" s="285">
        <f t="shared" si="11"/>
        <v>0</v>
      </c>
      <c r="J185" s="285"/>
      <c r="K185" s="285"/>
      <c r="L185" s="285"/>
    </row>
    <row r="186" spans="5:12" x14ac:dyDescent="0.25">
      <c r="F186">
        <v>5</v>
      </c>
      <c r="G186" s="5">
        <f t="shared" si="12"/>
        <v>0</v>
      </c>
      <c r="H186" s="285">
        <f t="shared" si="10"/>
        <v>0</v>
      </c>
      <c r="I186" s="285">
        <f t="shared" si="11"/>
        <v>0</v>
      </c>
      <c r="J186" s="285"/>
      <c r="K186" s="285"/>
      <c r="L186" s="285"/>
    </row>
    <row r="187" spans="5:12" x14ac:dyDescent="0.25">
      <c r="F187">
        <v>6</v>
      </c>
      <c r="G187" s="5">
        <f t="shared" si="12"/>
        <v>0</v>
      </c>
      <c r="H187" s="285">
        <f t="shared" si="10"/>
        <v>0</v>
      </c>
      <c r="I187" s="285">
        <f t="shared" si="11"/>
        <v>0</v>
      </c>
      <c r="J187" s="285"/>
      <c r="K187" s="285"/>
      <c r="L187" s="285"/>
    </row>
    <row r="188" spans="5:12" x14ac:dyDescent="0.25">
      <c r="F188">
        <v>7</v>
      </c>
      <c r="G188" s="5">
        <f t="shared" si="12"/>
        <v>0</v>
      </c>
      <c r="H188" s="285">
        <f t="shared" si="10"/>
        <v>0</v>
      </c>
      <c r="I188" s="285">
        <f t="shared" si="11"/>
        <v>0</v>
      </c>
      <c r="J188" s="285"/>
      <c r="K188" s="285"/>
      <c r="L188" s="285"/>
    </row>
    <row r="189" spans="5:12" x14ac:dyDescent="0.25">
      <c r="F189">
        <v>8</v>
      </c>
      <c r="G189" s="5">
        <f t="shared" si="12"/>
        <v>0</v>
      </c>
      <c r="H189" s="285">
        <f t="shared" si="10"/>
        <v>0</v>
      </c>
      <c r="I189" s="285">
        <f t="shared" si="11"/>
        <v>0</v>
      </c>
      <c r="J189" s="285"/>
      <c r="K189" s="285"/>
      <c r="L189" s="285"/>
    </row>
    <row r="190" spans="5:12" x14ac:dyDescent="0.25">
      <c r="F190">
        <v>9</v>
      </c>
      <c r="G190" s="5">
        <f t="shared" si="12"/>
        <v>0</v>
      </c>
      <c r="H190" s="285">
        <f t="shared" si="10"/>
        <v>0</v>
      </c>
      <c r="I190" s="285">
        <f t="shared" si="11"/>
        <v>0</v>
      </c>
      <c r="J190" s="285"/>
      <c r="K190" s="285"/>
      <c r="L190" s="285"/>
    </row>
    <row r="191" spans="5:12" x14ac:dyDescent="0.25">
      <c r="F191">
        <v>10</v>
      </c>
      <c r="G191" s="5">
        <f t="shared" si="12"/>
        <v>0</v>
      </c>
      <c r="H191" s="285">
        <f t="shared" si="10"/>
        <v>0</v>
      </c>
      <c r="I191" s="285">
        <f t="shared" si="11"/>
        <v>0</v>
      </c>
      <c r="J191" s="285"/>
      <c r="K191" s="285"/>
      <c r="L191" s="285"/>
    </row>
    <row r="192" spans="5:12" x14ac:dyDescent="0.25">
      <c r="F192">
        <v>11</v>
      </c>
      <c r="G192" s="5">
        <f t="shared" si="12"/>
        <v>0</v>
      </c>
      <c r="H192" s="285">
        <f t="shared" si="10"/>
        <v>0</v>
      </c>
      <c r="I192" s="285">
        <f t="shared" si="11"/>
        <v>0</v>
      </c>
      <c r="J192" s="285"/>
      <c r="K192" s="285"/>
      <c r="L192" s="285"/>
    </row>
    <row r="193" spans="5:12" x14ac:dyDescent="0.25">
      <c r="F193">
        <v>12</v>
      </c>
      <c r="G193" s="5">
        <f t="shared" si="12"/>
        <v>0</v>
      </c>
      <c r="H193" s="285">
        <f t="shared" si="10"/>
        <v>0</v>
      </c>
      <c r="I193" s="285">
        <f t="shared" si="11"/>
        <v>0</v>
      </c>
      <c r="J193" s="285">
        <f t="shared" si="13"/>
        <v>0</v>
      </c>
      <c r="K193" s="285"/>
      <c r="L193" s="285"/>
    </row>
    <row r="194" spans="5:12" x14ac:dyDescent="0.25">
      <c r="E194">
        <v>17</v>
      </c>
      <c r="F194">
        <v>1</v>
      </c>
      <c r="G194" s="5">
        <f t="shared" si="12"/>
        <v>0</v>
      </c>
      <c r="H194" s="285">
        <f t="shared" si="10"/>
        <v>0</v>
      </c>
      <c r="I194" s="285">
        <f t="shared" si="11"/>
        <v>0</v>
      </c>
      <c r="J194" s="285"/>
      <c r="K194" s="285"/>
      <c r="L194" s="285"/>
    </row>
    <row r="195" spans="5:12" x14ac:dyDescent="0.25">
      <c r="F195">
        <v>2</v>
      </c>
      <c r="G195" s="5">
        <f t="shared" si="12"/>
        <v>0</v>
      </c>
      <c r="H195" s="285">
        <f t="shared" ref="H195:H258" si="14">G195*$C$5</f>
        <v>0</v>
      </c>
      <c r="I195" s="285">
        <f t="shared" ref="I195:I258" si="15">H195+$C$3</f>
        <v>0</v>
      </c>
      <c r="J195" s="285"/>
      <c r="K195" s="285"/>
      <c r="L195" s="285"/>
    </row>
    <row r="196" spans="5:12" x14ac:dyDescent="0.25">
      <c r="F196">
        <v>3</v>
      </c>
      <c r="G196" s="5">
        <f t="shared" ref="G196:G259" si="16">G195-$C$3</f>
        <v>0</v>
      </c>
      <c r="H196" s="285">
        <f t="shared" si="14"/>
        <v>0</v>
      </c>
      <c r="I196" s="285">
        <f t="shared" si="15"/>
        <v>0</v>
      </c>
      <c r="J196" s="285"/>
      <c r="K196" s="285"/>
      <c r="L196" s="285"/>
    </row>
    <row r="197" spans="5:12" x14ac:dyDescent="0.25">
      <c r="F197">
        <v>4</v>
      </c>
      <c r="G197" s="5">
        <f t="shared" si="16"/>
        <v>0</v>
      </c>
      <c r="H197" s="285">
        <f t="shared" si="14"/>
        <v>0</v>
      </c>
      <c r="I197" s="285">
        <f t="shared" si="15"/>
        <v>0</v>
      </c>
      <c r="J197" s="285"/>
      <c r="K197" s="285"/>
      <c r="L197" s="285"/>
    </row>
    <row r="198" spans="5:12" x14ac:dyDescent="0.25">
      <c r="F198">
        <v>5</v>
      </c>
      <c r="G198" s="5">
        <f t="shared" si="16"/>
        <v>0</v>
      </c>
      <c r="H198" s="285">
        <f t="shared" si="14"/>
        <v>0</v>
      </c>
      <c r="I198" s="285">
        <f t="shared" si="15"/>
        <v>0</v>
      </c>
      <c r="J198" s="285"/>
      <c r="K198" s="285"/>
      <c r="L198" s="285"/>
    </row>
    <row r="199" spans="5:12" x14ac:dyDescent="0.25">
      <c r="F199">
        <v>6</v>
      </c>
      <c r="G199" s="5">
        <f t="shared" si="16"/>
        <v>0</v>
      </c>
      <c r="H199" s="285">
        <f t="shared" si="14"/>
        <v>0</v>
      </c>
      <c r="I199" s="285">
        <f t="shared" si="15"/>
        <v>0</v>
      </c>
      <c r="J199" s="285"/>
      <c r="K199" s="285"/>
      <c r="L199" s="285"/>
    </row>
    <row r="200" spans="5:12" x14ac:dyDescent="0.25">
      <c r="F200">
        <v>7</v>
      </c>
      <c r="G200" s="5">
        <f t="shared" si="16"/>
        <v>0</v>
      </c>
      <c r="H200" s="285">
        <f t="shared" si="14"/>
        <v>0</v>
      </c>
      <c r="I200" s="285">
        <f t="shared" si="15"/>
        <v>0</v>
      </c>
      <c r="J200" s="285"/>
      <c r="K200" s="285"/>
      <c r="L200" s="285"/>
    </row>
    <row r="201" spans="5:12" x14ac:dyDescent="0.25">
      <c r="F201">
        <v>8</v>
      </c>
      <c r="G201" s="5">
        <f t="shared" si="16"/>
        <v>0</v>
      </c>
      <c r="H201" s="285">
        <f t="shared" si="14"/>
        <v>0</v>
      </c>
      <c r="I201" s="285">
        <f t="shared" si="15"/>
        <v>0</v>
      </c>
      <c r="J201" s="285"/>
      <c r="K201" s="285"/>
      <c r="L201" s="285"/>
    </row>
    <row r="202" spans="5:12" x14ac:dyDescent="0.25">
      <c r="F202">
        <v>9</v>
      </c>
      <c r="G202" s="5">
        <f t="shared" si="16"/>
        <v>0</v>
      </c>
      <c r="H202" s="285">
        <f t="shared" si="14"/>
        <v>0</v>
      </c>
      <c r="I202" s="285">
        <f t="shared" si="15"/>
        <v>0</v>
      </c>
      <c r="J202" s="285"/>
      <c r="K202" s="285"/>
      <c r="L202" s="285"/>
    </row>
    <row r="203" spans="5:12" x14ac:dyDescent="0.25">
      <c r="F203">
        <v>10</v>
      </c>
      <c r="G203" s="5">
        <f t="shared" si="16"/>
        <v>0</v>
      </c>
      <c r="H203" s="285">
        <f t="shared" si="14"/>
        <v>0</v>
      </c>
      <c r="I203" s="285">
        <f t="shared" si="15"/>
        <v>0</v>
      </c>
      <c r="J203" s="285"/>
      <c r="K203" s="285"/>
      <c r="L203" s="285"/>
    </row>
    <row r="204" spans="5:12" x14ac:dyDescent="0.25">
      <c r="F204">
        <v>11</v>
      </c>
      <c r="G204" s="5">
        <f t="shared" si="16"/>
        <v>0</v>
      </c>
      <c r="H204" s="285">
        <f t="shared" si="14"/>
        <v>0</v>
      </c>
      <c r="I204" s="285">
        <f t="shared" si="15"/>
        <v>0</v>
      </c>
      <c r="J204" s="285"/>
      <c r="K204" s="285"/>
      <c r="L204" s="285"/>
    </row>
    <row r="205" spans="5:12" x14ac:dyDescent="0.25">
      <c r="F205">
        <v>12</v>
      </c>
      <c r="G205" s="5">
        <f t="shared" si="16"/>
        <v>0</v>
      </c>
      <c r="H205" s="285">
        <f t="shared" si="14"/>
        <v>0</v>
      </c>
      <c r="I205" s="285">
        <f t="shared" si="15"/>
        <v>0</v>
      </c>
      <c r="J205" s="285">
        <f>SUM(I194:I205)</f>
        <v>0</v>
      </c>
      <c r="K205" s="285"/>
      <c r="L205" s="285"/>
    </row>
    <row r="206" spans="5:12" x14ac:dyDescent="0.25">
      <c r="E206">
        <v>18</v>
      </c>
      <c r="F206">
        <v>1</v>
      </c>
      <c r="G206" s="5">
        <f t="shared" si="16"/>
        <v>0</v>
      </c>
      <c r="H206" s="285">
        <f t="shared" si="14"/>
        <v>0</v>
      </c>
      <c r="I206" s="285">
        <f t="shared" si="15"/>
        <v>0</v>
      </c>
      <c r="J206" s="285"/>
      <c r="K206" s="285"/>
      <c r="L206" s="285"/>
    </row>
    <row r="207" spans="5:12" x14ac:dyDescent="0.25">
      <c r="F207">
        <v>2</v>
      </c>
      <c r="G207" s="5">
        <f t="shared" si="16"/>
        <v>0</v>
      </c>
      <c r="H207" s="285">
        <f t="shared" si="14"/>
        <v>0</v>
      </c>
      <c r="I207" s="285">
        <f t="shared" si="15"/>
        <v>0</v>
      </c>
      <c r="J207" s="285"/>
      <c r="K207" s="285"/>
      <c r="L207" s="285"/>
    </row>
    <row r="208" spans="5:12" x14ac:dyDescent="0.25">
      <c r="F208">
        <v>3</v>
      </c>
      <c r="G208" s="5">
        <f t="shared" si="16"/>
        <v>0</v>
      </c>
      <c r="H208" s="285">
        <f t="shared" si="14"/>
        <v>0</v>
      </c>
      <c r="I208" s="285">
        <f t="shared" si="15"/>
        <v>0</v>
      </c>
      <c r="J208" s="285"/>
      <c r="K208" s="285"/>
      <c r="L208" s="285"/>
    </row>
    <row r="209" spans="5:12" x14ac:dyDescent="0.25">
      <c r="F209">
        <v>4</v>
      </c>
      <c r="G209" s="5">
        <f t="shared" si="16"/>
        <v>0</v>
      </c>
      <c r="H209" s="285">
        <f t="shared" si="14"/>
        <v>0</v>
      </c>
      <c r="I209" s="285">
        <f t="shared" si="15"/>
        <v>0</v>
      </c>
      <c r="J209" s="285"/>
      <c r="K209" s="285"/>
      <c r="L209" s="285"/>
    </row>
    <row r="210" spans="5:12" x14ac:dyDescent="0.25">
      <c r="F210">
        <v>5</v>
      </c>
      <c r="G210" s="5">
        <f t="shared" si="16"/>
        <v>0</v>
      </c>
      <c r="H210" s="285">
        <f t="shared" si="14"/>
        <v>0</v>
      </c>
      <c r="I210" s="285">
        <f t="shared" si="15"/>
        <v>0</v>
      </c>
      <c r="J210" s="285"/>
      <c r="K210" s="285"/>
      <c r="L210" s="285"/>
    </row>
    <row r="211" spans="5:12" x14ac:dyDescent="0.25">
      <c r="F211">
        <v>6</v>
      </c>
      <c r="G211" s="5">
        <f t="shared" si="16"/>
        <v>0</v>
      </c>
      <c r="H211" s="285">
        <f t="shared" si="14"/>
        <v>0</v>
      </c>
      <c r="I211" s="285">
        <f t="shared" si="15"/>
        <v>0</v>
      </c>
      <c r="J211" s="285"/>
      <c r="K211" s="285"/>
      <c r="L211" s="285"/>
    </row>
    <row r="212" spans="5:12" x14ac:dyDescent="0.25">
      <c r="F212">
        <v>7</v>
      </c>
      <c r="G212" s="5">
        <f t="shared" si="16"/>
        <v>0</v>
      </c>
      <c r="H212" s="285">
        <f t="shared" si="14"/>
        <v>0</v>
      </c>
      <c r="I212" s="285">
        <f t="shared" si="15"/>
        <v>0</v>
      </c>
      <c r="J212" s="285"/>
      <c r="K212" s="285"/>
      <c r="L212" s="285"/>
    </row>
    <row r="213" spans="5:12" x14ac:dyDescent="0.25">
      <c r="F213">
        <v>8</v>
      </c>
      <c r="G213" s="5">
        <f t="shared" si="16"/>
        <v>0</v>
      </c>
      <c r="H213" s="285">
        <f t="shared" si="14"/>
        <v>0</v>
      </c>
      <c r="I213" s="285">
        <f t="shared" si="15"/>
        <v>0</v>
      </c>
      <c r="J213" s="285"/>
      <c r="K213" s="285"/>
      <c r="L213" s="285"/>
    </row>
    <row r="214" spans="5:12" x14ac:dyDescent="0.25">
      <c r="F214">
        <v>9</v>
      </c>
      <c r="G214" s="5">
        <f t="shared" si="16"/>
        <v>0</v>
      </c>
      <c r="H214" s="285">
        <f t="shared" si="14"/>
        <v>0</v>
      </c>
      <c r="I214" s="285">
        <f t="shared" si="15"/>
        <v>0</v>
      </c>
      <c r="J214" s="285"/>
      <c r="K214" s="285"/>
      <c r="L214" s="285"/>
    </row>
    <row r="215" spans="5:12" x14ac:dyDescent="0.25">
      <c r="F215">
        <v>10</v>
      </c>
      <c r="G215" s="5">
        <f t="shared" si="16"/>
        <v>0</v>
      </c>
      <c r="H215" s="285">
        <f t="shared" si="14"/>
        <v>0</v>
      </c>
      <c r="I215" s="285">
        <f t="shared" si="15"/>
        <v>0</v>
      </c>
      <c r="J215" s="285"/>
      <c r="K215" s="285"/>
      <c r="L215" s="285"/>
    </row>
    <row r="216" spans="5:12" x14ac:dyDescent="0.25">
      <c r="F216">
        <v>11</v>
      </c>
      <c r="G216" s="5">
        <f t="shared" si="16"/>
        <v>0</v>
      </c>
      <c r="H216" s="285">
        <f t="shared" si="14"/>
        <v>0</v>
      </c>
      <c r="I216" s="285">
        <f t="shared" si="15"/>
        <v>0</v>
      </c>
      <c r="J216" s="285"/>
      <c r="K216" s="285"/>
      <c r="L216" s="285"/>
    </row>
    <row r="217" spans="5:12" x14ac:dyDescent="0.25">
      <c r="F217">
        <v>12</v>
      </c>
      <c r="G217" s="5">
        <f t="shared" si="16"/>
        <v>0</v>
      </c>
      <c r="H217" s="285">
        <f t="shared" si="14"/>
        <v>0</v>
      </c>
      <c r="I217" s="285">
        <f t="shared" si="15"/>
        <v>0</v>
      </c>
      <c r="J217" s="285">
        <f t="shared" si="13"/>
        <v>0</v>
      </c>
      <c r="K217" s="285"/>
      <c r="L217" s="285"/>
    </row>
    <row r="218" spans="5:12" x14ac:dyDescent="0.25">
      <c r="E218">
        <v>19</v>
      </c>
      <c r="F218">
        <v>1</v>
      </c>
      <c r="G218" s="5">
        <f t="shared" si="16"/>
        <v>0</v>
      </c>
      <c r="H218" s="285">
        <f t="shared" si="14"/>
        <v>0</v>
      </c>
      <c r="I218" s="285">
        <f t="shared" si="15"/>
        <v>0</v>
      </c>
      <c r="J218" s="285"/>
      <c r="K218" s="285"/>
      <c r="L218" s="285"/>
    </row>
    <row r="219" spans="5:12" x14ac:dyDescent="0.25">
      <c r="F219">
        <v>2</v>
      </c>
      <c r="G219" s="5">
        <f t="shared" si="16"/>
        <v>0</v>
      </c>
      <c r="H219" s="285">
        <f t="shared" si="14"/>
        <v>0</v>
      </c>
      <c r="I219" s="285">
        <f t="shared" si="15"/>
        <v>0</v>
      </c>
      <c r="J219" s="285"/>
      <c r="K219" s="285"/>
      <c r="L219" s="285"/>
    </row>
    <row r="220" spans="5:12" x14ac:dyDescent="0.25">
      <c r="F220">
        <v>3</v>
      </c>
      <c r="G220" s="5">
        <f t="shared" si="16"/>
        <v>0</v>
      </c>
      <c r="H220" s="285">
        <f t="shared" si="14"/>
        <v>0</v>
      </c>
      <c r="I220" s="285">
        <f t="shared" si="15"/>
        <v>0</v>
      </c>
      <c r="J220" s="285"/>
      <c r="K220" s="285"/>
      <c r="L220" s="285"/>
    </row>
    <row r="221" spans="5:12" x14ac:dyDescent="0.25">
      <c r="F221">
        <v>4</v>
      </c>
      <c r="G221" s="5">
        <f t="shared" si="16"/>
        <v>0</v>
      </c>
      <c r="H221" s="285">
        <f t="shared" si="14"/>
        <v>0</v>
      </c>
      <c r="I221" s="285">
        <f t="shared" si="15"/>
        <v>0</v>
      </c>
      <c r="J221" s="285"/>
      <c r="K221" s="285"/>
      <c r="L221" s="285"/>
    </row>
    <row r="222" spans="5:12" x14ac:dyDescent="0.25">
      <c r="F222">
        <v>5</v>
      </c>
      <c r="G222" s="5">
        <f t="shared" si="16"/>
        <v>0</v>
      </c>
      <c r="H222" s="285">
        <f t="shared" si="14"/>
        <v>0</v>
      </c>
      <c r="I222" s="285">
        <f t="shared" si="15"/>
        <v>0</v>
      </c>
      <c r="J222" s="285"/>
      <c r="K222" s="285"/>
      <c r="L222" s="285"/>
    </row>
    <row r="223" spans="5:12" x14ac:dyDescent="0.25">
      <c r="F223">
        <v>6</v>
      </c>
      <c r="G223" s="5">
        <f t="shared" si="16"/>
        <v>0</v>
      </c>
      <c r="H223" s="285">
        <f t="shared" si="14"/>
        <v>0</v>
      </c>
      <c r="I223" s="285">
        <f t="shared" si="15"/>
        <v>0</v>
      </c>
      <c r="J223" s="285"/>
      <c r="K223" s="285"/>
      <c r="L223" s="285"/>
    </row>
    <row r="224" spans="5:12" x14ac:dyDescent="0.25">
      <c r="F224">
        <v>7</v>
      </c>
      <c r="G224" s="5">
        <f t="shared" si="16"/>
        <v>0</v>
      </c>
      <c r="H224" s="285">
        <f t="shared" si="14"/>
        <v>0</v>
      </c>
      <c r="I224" s="285">
        <f t="shared" si="15"/>
        <v>0</v>
      </c>
      <c r="J224" s="285"/>
      <c r="K224" s="285"/>
      <c r="L224" s="285"/>
    </row>
    <row r="225" spans="5:12" x14ac:dyDescent="0.25">
      <c r="F225">
        <v>8</v>
      </c>
      <c r="G225" s="5">
        <f t="shared" si="16"/>
        <v>0</v>
      </c>
      <c r="H225" s="285">
        <f t="shared" si="14"/>
        <v>0</v>
      </c>
      <c r="I225" s="285">
        <f t="shared" si="15"/>
        <v>0</v>
      </c>
      <c r="J225" s="285"/>
      <c r="K225" s="285"/>
      <c r="L225" s="285"/>
    </row>
    <row r="226" spans="5:12" x14ac:dyDescent="0.25">
      <c r="F226">
        <v>9</v>
      </c>
      <c r="G226" s="5">
        <f t="shared" si="16"/>
        <v>0</v>
      </c>
      <c r="H226" s="285">
        <f t="shared" si="14"/>
        <v>0</v>
      </c>
      <c r="I226" s="285">
        <f t="shared" si="15"/>
        <v>0</v>
      </c>
      <c r="J226" s="285"/>
      <c r="K226" s="285"/>
      <c r="L226" s="285"/>
    </row>
    <row r="227" spans="5:12" x14ac:dyDescent="0.25">
      <c r="F227">
        <v>10</v>
      </c>
      <c r="G227" s="5">
        <f t="shared" si="16"/>
        <v>0</v>
      </c>
      <c r="H227" s="285">
        <f t="shared" si="14"/>
        <v>0</v>
      </c>
      <c r="I227" s="285">
        <f t="shared" si="15"/>
        <v>0</v>
      </c>
      <c r="J227" s="285"/>
      <c r="K227" s="285"/>
      <c r="L227" s="285"/>
    </row>
    <row r="228" spans="5:12" x14ac:dyDescent="0.25">
      <c r="F228">
        <v>11</v>
      </c>
      <c r="G228" s="5">
        <f t="shared" si="16"/>
        <v>0</v>
      </c>
      <c r="H228" s="285">
        <f t="shared" si="14"/>
        <v>0</v>
      </c>
      <c r="I228" s="285">
        <f t="shared" si="15"/>
        <v>0</v>
      </c>
      <c r="J228" s="285"/>
      <c r="K228" s="285"/>
      <c r="L228" s="285"/>
    </row>
    <row r="229" spans="5:12" x14ac:dyDescent="0.25">
      <c r="F229">
        <v>12</v>
      </c>
      <c r="G229" s="5">
        <f t="shared" si="16"/>
        <v>0</v>
      </c>
      <c r="H229" s="285">
        <f t="shared" si="14"/>
        <v>0</v>
      </c>
      <c r="I229" s="285">
        <f t="shared" si="15"/>
        <v>0</v>
      </c>
      <c r="J229" s="285">
        <f t="shared" si="13"/>
        <v>0</v>
      </c>
      <c r="K229" s="285"/>
      <c r="L229" s="285"/>
    </row>
    <row r="230" spans="5:12" x14ac:dyDescent="0.25">
      <c r="E230">
        <v>20</v>
      </c>
      <c r="F230">
        <v>1</v>
      </c>
      <c r="G230" s="5">
        <f t="shared" si="16"/>
        <v>0</v>
      </c>
      <c r="H230" s="285">
        <f t="shared" si="14"/>
        <v>0</v>
      </c>
      <c r="I230" s="285">
        <f t="shared" si="15"/>
        <v>0</v>
      </c>
      <c r="J230" s="285"/>
      <c r="K230" s="285"/>
      <c r="L230" s="285"/>
    </row>
    <row r="231" spans="5:12" x14ac:dyDescent="0.25">
      <c r="F231">
        <v>2</v>
      </c>
      <c r="G231" s="5">
        <f t="shared" si="16"/>
        <v>0</v>
      </c>
      <c r="H231" s="285">
        <f t="shared" si="14"/>
        <v>0</v>
      </c>
      <c r="I231" s="285">
        <f t="shared" si="15"/>
        <v>0</v>
      </c>
      <c r="J231" s="285"/>
      <c r="K231" s="285"/>
      <c r="L231" s="285"/>
    </row>
    <row r="232" spans="5:12" x14ac:dyDescent="0.25">
      <c r="F232">
        <v>3</v>
      </c>
      <c r="G232" s="5">
        <f t="shared" si="16"/>
        <v>0</v>
      </c>
      <c r="H232" s="285">
        <f t="shared" si="14"/>
        <v>0</v>
      </c>
      <c r="I232" s="285">
        <f t="shared" si="15"/>
        <v>0</v>
      </c>
      <c r="J232" s="285"/>
      <c r="K232" s="285"/>
      <c r="L232" s="285"/>
    </row>
    <row r="233" spans="5:12" x14ac:dyDescent="0.25">
      <c r="F233">
        <v>4</v>
      </c>
      <c r="G233" s="5">
        <f t="shared" si="16"/>
        <v>0</v>
      </c>
      <c r="H233" s="285">
        <f t="shared" si="14"/>
        <v>0</v>
      </c>
      <c r="I233" s="285">
        <f t="shared" si="15"/>
        <v>0</v>
      </c>
      <c r="J233" s="285"/>
      <c r="K233" s="285"/>
      <c r="L233" s="285"/>
    </row>
    <row r="234" spans="5:12" x14ac:dyDescent="0.25">
      <c r="F234">
        <v>5</v>
      </c>
      <c r="G234" s="5">
        <f t="shared" si="16"/>
        <v>0</v>
      </c>
      <c r="H234" s="285">
        <f t="shared" si="14"/>
        <v>0</v>
      </c>
      <c r="I234" s="285">
        <f t="shared" si="15"/>
        <v>0</v>
      </c>
      <c r="J234" s="285"/>
      <c r="K234" s="285"/>
      <c r="L234" s="285"/>
    </row>
    <row r="235" spans="5:12" x14ac:dyDescent="0.25">
      <c r="F235">
        <v>6</v>
      </c>
      <c r="G235" s="5">
        <f t="shared" si="16"/>
        <v>0</v>
      </c>
      <c r="H235" s="285">
        <f t="shared" si="14"/>
        <v>0</v>
      </c>
      <c r="I235" s="285">
        <f t="shared" si="15"/>
        <v>0</v>
      </c>
      <c r="J235" s="285"/>
      <c r="K235" s="285"/>
      <c r="L235" s="285"/>
    </row>
    <row r="236" spans="5:12" x14ac:dyDescent="0.25">
      <c r="F236">
        <v>7</v>
      </c>
      <c r="G236" s="5">
        <f t="shared" si="16"/>
        <v>0</v>
      </c>
      <c r="H236" s="285">
        <f t="shared" si="14"/>
        <v>0</v>
      </c>
      <c r="I236" s="285">
        <f t="shared" si="15"/>
        <v>0</v>
      </c>
      <c r="J236" s="285"/>
      <c r="K236" s="285"/>
      <c r="L236" s="285"/>
    </row>
    <row r="237" spans="5:12" x14ac:dyDescent="0.25">
      <c r="F237">
        <v>8</v>
      </c>
      <c r="G237" s="5">
        <f t="shared" si="16"/>
        <v>0</v>
      </c>
      <c r="H237" s="285">
        <f t="shared" si="14"/>
        <v>0</v>
      </c>
      <c r="I237" s="285">
        <f t="shared" si="15"/>
        <v>0</v>
      </c>
      <c r="J237" s="285"/>
      <c r="K237" s="285"/>
      <c r="L237" s="285"/>
    </row>
    <row r="238" spans="5:12" x14ac:dyDescent="0.25">
      <c r="F238">
        <v>9</v>
      </c>
      <c r="G238" s="5">
        <f t="shared" si="16"/>
        <v>0</v>
      </c>
      <c r="H238" s="285">
        <f t="shared" si="14"/>
        <v>0</v>
      </c>
      <c r="I238" s="285">
        <f t="shared" si="15"/>
        <v>0</v>
      </c>
      <c r="J238" s="285"/>
      <c r="K238" s="285"/>
      <c r="L238" s="285"/>
    </row>
    <row r="239" spans="5:12" x14ac:dyDescent="0.25">
      <c r="F239">
        <v>10</v>
      </c>
      <c r="G239" s="5">
        <f t="shared" si="16"/>
        <v>0</v>
      </c>
      <c r="H239" s="285">
        <f t="shared" si="14"/>
        <v>0</v>
      </c>
      <c r="I239" s="285">
        <f t="shared" si="15"/>
        <v>0</v>
      </c>
      <c r="J239" s="285"/>
      <c r="K239" s="285"/>
      <c r="L239" s="285"/>
    </row>
    <row r="240" spans="5:12" x14ac:dyDescent="0.25">
      <c r="F240">
        <v>11</v>
      </c>
      <c r="G240" s="5">
        <f t="shared" si="16"/>
        <v>0</v>
      </c>
      <c r="H240" s="285">
        <f t="shared" si="14"/>
        <v>0</v>
      </c>
      <c r="I240" s="285">
        <f t="shared" si="15"/>
        <v>0</v>
      </c>
      <c r="J240" s="285"/>
      <c r="K240" s="285"/>
      <c r="L240" s="285"/>
    </row>
    <row r="241" spans="5:12" x14ac:dyDescent="0.25">
      <c r="F241">
        <v>12</v>
      </c>
      <c r="G241" s="5">
        <f t="shared" si="16"/>
        <v>0</v>
      </c>
      <c r="H241" s="285">
        <f t="shared" si="14"/>
        <v>0</v>
      </c>
      <c r="I241" s="285">
        <f t="shared" si="15"/>
        <v>0</v>
      </c>
      <c r="J241" s="285">
        <f t="shared" ref="J241:J301" si="17">SUM(I230:I241)</f>
        <v>0</v>
      </c>
      <c r="K241" s="285"/>
      <c r="L241" s="285"/>
    </row>
    <row r="242" spans="5:12" x14ac:dyDescent="0.25">
      <c r="E242">
        <v>21</v>
      </c>
      <c r="F242">
        <v>1</v>
      </c>
      <c r="G242" s="5">
        <f t="shared" si="16"/>
        <v>0</v>
      </c>
      <c r="H242" s="285">
        <f t="shared" si="14"/>
        <v>0</v>
      </c>
      <c r="I242" s="285">
        <f t="shared" si="15"/>
        <v>0</v>
      </c>
      <c r="J242" s="285"/>
      <c r="K242" s="285"/>
      <c r="L242" s="285"/>
    </row>
    <row r="243" spans="5:12" x14ac:dyDescent="0.25">
      <c r="F243" s="288">
        <v>2</v>
      </c>
      <c r="G243" s="5">
        <f t="shared" si="16"/>
        <v>0</v>
      </c>
      <c r="H243" s="285">
        <f t="shared" si="14"/>
        <v>0</v>
      </c>
      <c r="I243" s="285">
        <f t="shared" si="15"/>
        <v>0</v>
      </c>
      <c r="J243" s="285"/>
      <c r="K243" s="285"/>
      <c r="L243" s="285"/>
    </row>
    <row r="244" spans="5:12" x14ac:dyDescent="0.25">
      <c r="F244">
        <v>3</v>
      </c>
      <c r="G244" s="5">
        <f t="shared" si="16"/>
        <v>0</v>
      </c>
      <c r="H244" s="285">
        <f t="shared" si="14"/>
        <v>0</v>
      </c>
      <c r="I244" s="285">
        <f t="shared" si="15"/>
        <v>0</v>
      </c>
      <c r="J244" s="285"/>
      <c r="K244" s="285"/>
      <c r="L244" s="285"/>
    </row>
    <row r="245" spans="5:12" x14ac:dyDescent="0.25">
      <c r="F245">
        <v>4</v>
      </c>
      <c r="G245" s="5">
        <f t="shared" si="16"/>
        <v>0</v>
      </c>
      <c r="H245" s="285">
        <f t="shared" si="14"/>
        <v>0</v>
      </c>
      <c r="I245" s="285">
        <f t="shared" si="15"/>
        <v>0</v>
      </c>
      <c r="J245" s="285"/>
      <c r="K245" s="285"/>
      <c r="L245" s="285"/>
    </row>
    <row r="246" spans="5:12" x14ac:dyDescent="0.25">
      <c r="F246">
        <v>5</v>
      </c>
      <c r="G246" s="5">
        <f t="shared" si="16"/>
        <v>0</v>
      </c>
      <c r="H246" s="285">
        <f t="shared" si="14"/>
        <v>0</v>
      </c>
      <c r="I246" s="285">
        <f t="shared" si="15"/>
        <v>0</v>
      </c>
      <c r="J246" s="285"/>
      <c r="K246" s="285"/>
      <c r="L246" s="285"/>
    </row>
    <row r="247" spans="5:12" x14ac:dyDescent="0.25">
      <c r="F247">
        <v>6</v>
      </c>
      <c r="G247" s="5">
        <f t="shared" si="16"/>
        <v>0</v>
      </c>
      <c r="H247" s="285">
        <f t="shared" si="14"/>
        <v>0</v>
      </c>
      <c r="I247" s="285">
        <f t="shared" si="15"/>
        <v>0</v>
      </c>
      <c r="J247" s="285"/>
      <c r="K247" s="285"/>
      <c r="L247" s="285"/>
    </row>
    <row r="248" spans="5:12" x14ac:dyDescent="0.25">
      <c r="F248">
        <v>7</v>
      </c>
      <c r="G248" s="5">
        <f t="shared" si="16"/>
        <v>0</v>
      </c>
      <c r="H248" s="285">
        <f t="shared" si="14"/>
        <v>0</v>
      </c>
      <c r="I248" s="285">
        <f t="shared" si="15"/>
        <v>0</v>
      </c>
      <c r="J248" s="285"/>
      <c r="K248" s="285"/>
      <c r="L248" s="285"/>
    </row>
    <row r="249" spans="5:12" x14ac:dyDescent="0.25">
      <c r="F249">
        <v>8</v>
      </c>
      <c r="G249" s="5">
        <f t="shared" si="16"/>
        <v>0</v>
      </c>
      <c r="H249" s="285">
        <f t="shared" si="14"/>
        <v>0</v>
      </c>
      <c r="I249" s="285">
        <f t="shared" si="15"/>
        <v>0</v>
      </c>
      <c r="J249" s="285"/>
      <c r="K249" s="285"/>
      <c r="L249" s="285"/>
    </row>
    <row r="250" spans="5:12" x14ac:dyDescent="0.25">
      <c r="F250">
        <v>9</v>
      </c>
      <c r="G250" s="5">
        <f t="shared" si="16"/>
        <v>0</v>
      </c>
      <c r="H250" s="285">
        <f t="shared" si="14"/>
        <v>0</v>
      </c>
      <c r="I250" s="285">
        <f t="shared" si="15"/>
        <v>0</v>
      </c>
      <c r="J250" s="285"/>
      <c r="K250" s="285"/>
      <c r="L250" s="285"/>
    </row>
    <row r="251" spans="5:12" x14ac:dyDescent="0.25">
      <c r="F251">
        <v>10</v>
      </c>
      <c r="G251" s="5">
        <f t="shared" si="16"/>
        <v>0</v>
      </c>
      <c r="H251" s="285">
        <f t="shared" si="14"/>
        <v>0</v>
      </c>
      <c r="I251" s="285">
        <f t="shared" si="15"/>
        <v>0</v>
      </c>
      <c r="J251" s="285"/>
      <c r="K251" s="285"/>
      <c r="L251" s="285"/>
    </row>
    <row r="252" spans="5:12" x14ac:dyDescent="0.25">
      <c r="F252">
        <v>11</v>
      </c>
      <c r="G252" s="5">
        <f t="shared" si="16"/>
        <v>0</v>
      </c>
      <c r="H252" s="285">
        <f t="shared" si="14"/>
        <v>0</v>
      </c>
      <c r="I252" s="285">
        <f t="shared" si="15"/>
        <v>0</v>
      </c>
      <c r="J252" s="285"/>
      <c r="K252" s="285"/>
      <c r="L252" s="285"/>
    </row>
    <row r="253" spans="5:12" x14ac:dyDescent="0.25">
      <c r="F253">
        <v>12</v>
      </c>
      <c r="G253" s="5">
        <f t="shared" si="16"/>
        <v>0</v>
      </c>
      <c r="H253" s="285">
        <f t="shared" si="14"/>
        <v>0</v>
      </c>
      <c r="I253" s="285">
        <f t="shared" si="15"/>
        <v>0</v>
      </c>
      <c r="J253" s="285">
        <f t="shared" si="17"/>
        <v>0</v>
      </c>
      <c r="K253" s="285"/>
      <c r="L253" s="285"/>
    </row>
    <row r="254" spans="5:12" x14ac:dyDescent="0.25">
      <c r="E254">
        <v>22</v>
      </c>
      <c r="F254">
        <v>1</v>
      </c>
      <c r="G254" s="5">
        <f t="shared" si="16"/>
        <v>0</v>
      </c>
      <c r="H254" s="285">
        <f t="shared" si="14"/>
        <v>0</v>
      </c>
      <c r="I254" s="285">
        <f t="shared" si="15"/>
        <v>0</v>
      </c>
      <c r="J254" s="285"/>
      <c r="K254" s="285"/>
      <c r="L254" s="285"/>
    </row>
    <row r="255" spans="5:12" x14ac:dyDescent="0.25">
      <c r="F255">
        <v>2</v>
      </c>
      <c r="G255" s="5">
        <f t="shared" si="16"/>
        <v>0</v>
      </c>
      <c r="H255" s="285">
        <f t="shared" si="14"/>
        <v>0</v>
      </c>
      <c r="I255" s="285">
        <f t="shared" si="15"/>
        <v>0</v>
      </c>
      <c r="J255" s="285"/>
      <c r="K255" s="285"/>
      <c r="L255" s="285"/>
    </row>
    <row r="256" spans="5:12" x14ac:dyDescent="0.25">
      <c r="F256">
        <v>3</v>
      </c>
      <c r="G256" s="5">
        <f t="shared" si="16"/>
        <v>0</v>
      </c>
      <c r="H256" s="285">
        <f t="shared" si="14"/>
        <v>0</v>
      </c>
      <c r="I256" s="285">
        <f t="shared" si="15"/>
        <v>0</v>
      </c>
      <c r="J256" s="285"/>
      <c r="K256" s="285"/>
      <c r="L256" s="285"/>
    </row>
    <row r="257" spans="5:12" x14ac:dyDescent="0.25">
      <c r="F257">
        <v>4</v>
      </c>
      <c r="G257" s="5">
        <f t="shared" si="16"/>
        <v>0</v>
      </c>
      <c r="H257" s="285">
        <f t="shared" si="14"/>
        <v>0</v>
      </c>
      <c r="I257" s="285">
        <f t="shared" si="15"/>
        <v>0</v>
      </c>
      <c r="J257" s="285"/>
      <c r="K257" s="285"/>
      <c r="L257" s="285"/>
    </row>
    <row r="258" spans="5:12" x14ac:dyDescent="0.25">
      <c r="F258">
        <v>5</v>
      </c>
      <c r="G258" s="5">
        <f t="shared" si="16"/>
        <v>0</v>
      </c>
      <c r="H258" s="285">
        <f t="shared" si="14"/>
        <v>0</v>
      </c>
      <c r="I258" s="285">
        <f t="shared" si="15"/>
        <v>0</v>
      </c>
      <c r="J258" s="285"/>
      <c r="K258" s="285"/>
      <c r="L258" s="285"/>
    </row>
    <row r="259" spans="5:12" x14ac:dyDescent="0.25">
      <c r="F259">
        <v>6</v>
      </c>
      <c r="G259" s="5">
        <f t="shared" si="16"/>
        <v>0</v>
      </c>
      <c r="H259" s="285">
        <f t="shared" ref="H259:H322" si="18">G259*$C$5</f>
        <v>0</v>
      </c>
      <c r="I259" s="285">
        <f t="shared" ref="I259:I322" si="19">H259+$C$3</f>
        <v>0</v>
      </c>
      <c r="J259" s="285"/>
      <c r="K259" s="285"/>
      <c r="L259" s="285"/>
    </row>
    <row r="260" spans="5:12" x14ac:dyDescent="0.25">
      <c r="F260">
        <v>7</v>
      </c>
      <c r="G260" s="5">
        <f t="shared" ref="G260:G323" si="20">G259-$C$3</f>
        <v>0</v>
      </c>
      <c r="H260" s="285">
        <f t="shared" si="18"/>
        <v>0</v>
      </c>
      <c r="I260" s="285">
        <f t="shared" si="19"/>
        <v>0</v>
      </c>
      <c r="J260" s="285"/>
      <c r="K260" s="285"/>
      <c r="L260" s="285"/>
    </row>
    <row r="261" spans="5:12" x14ac:dyDescent="0.25">
      <c r="F261">
        <v>8</v>
      </c>
      <c r="G261" s="5">
        <f t="shared" si="20"/>
        <v>0</v>
      </c>
      <c r="H261" s="285">
        <f t="shared" si="18"/>
        <v>0</v>
      </c>
      <c r="I261" s="285">
        <f t="shared" si="19"/>
        <v>0</v>
      </c>
      <c r="J261" s="285"/>
      <c r="K261" s="285"/>
      <c r="L261" s="285"/>
    </row>
    <row r="262" spans="5:12" x14ac:dyDescent="0.25">
      <c r="F262">
        <v>9</v>
      </c>
      <c r="G262" s="5">
        <f t="shared" si="20"/>
        <v>0</v>
      </c>
      <c r="H262" s="285">
        <f t="shared" si="18"/>
        <v>0</v>
      </c>
      <c r="I262" s="285">
        <f t="shared" si="19"/>
        <v>0</v>
      </c>
      <c r="J262" s="285"/>
      <c r="K262" s="285"/>
      <c r="L262" s="285"/>
    </row>
    <row r="263" spans="5:12" x14ac:dyDescent="0.25">
      <c r="F263">
        <v>10</v>
      </c>
      <c r="G263" s="5">
        <f t="shared" si="20"/>
        <v>0</v>
      </c>
      <c r="H263" s="285">
        <f t="shared" si="18"/>
        <v>0</v>
      </c>
      <c r="I263" s="285">
        <f t="shared" si="19"/>
        <v>0</v>
      </c>
      <c r="J263" s="285"/>
      <c r="K263" s="285"/>
      <c r="L263" s="285"/>
    </row>
    <row r="264" spans="5:12" x14ac:dyDescent="0.25">
      <c r="F264">
        <v>11</v>
      </c>
      <c r="G264" s="5">
        <f t="shared" si="20"/>
        <v>0</v>
      </c>
      <c r="H264" s="285">
        <f t="shared" si="18"/>
        <v>0</v>
      </c>
      <c r="I264" s="285">
        <f t="shared" si="19"/>
        <v>0</v>
      </c>
      <c r="J264" s="285"/>
      <c r="K264" s="285"/>
      <c r="L264" s="285"/>
    </row>
    <row r="265" spans="5:12" x14ac:dyDescent="0.25">
      <c r="F265">
        <v>12</v>
      </c>
      <c r="G265" s="5">
        <f t="shared" si="20"/>
        <v>0</v>
      </c>
      <c r="H265" s="285">
        <f t="shared" si="18"/>
        <v>0</v>
      </c>
      <c r="I265" s="285">
        <f t="shared" si="19"/>
        <v>0</v>
      </c>
      <c r="J265" s="285">
        <f t="shared" si="17"/>
        <v>0</v>
      </c>
      <c r="K265" s="285"/>
      <c r="L265" s="285"/>
    </row>
    <row r="266" spans="5:12" x14ac:dyDescent="0.25">
      <c r="E266">
        <v>23</v>
      </c>
      <c r="F266">
        <v>1</v>
      </c>
      <c r="G266" s="5">
        <f t="shared" si="20"/>
        <v>0</v>
      </c>
      <c r="H266" s="285">
        <f t="shared" si="18"/>
        <v>0</v>
      </c>
      <c r="I266" s="285">
        <f t="shared" si="19"/>
        <v>0</v>
      </c>
      <c r="J266" s="285"/>
      <c r="K266" s="285"/>
      <c r="L266" s="285"/>
    </row>
    <row r="267" spans="5:12" x14ac:dyDescent="0.25">
      <c r="F267">
        <v>2</v>
      </c>
      <c r="G267" s="5">
        <f t="shared" si="20"/>
        <v>0</v>
      </c>
      <c r="H267" s="285">
        <f t="shared" si="18"/>
        <v>0</v>
      </c>
      <c r="I267" s="285">
        <f t="shared" si="19"/>
        <v>0</v>
      </c>
      <c r="J267" s="285"/>
      <c r="K267" s="285"/>
      <c r="L267" s="285"/>
    </row>
    <row r="268" spans="5:12" x14ac:dyDescent="0.25">
      <c r="F268">
        <v>3</v>
      </c>
      <c r="G268" s="5">
        <f t="shared" si="20"/>
        <v>0</v>
      </c>
      <c r="H268" s="285">
        <f t="shared" si="18"/>
        <v>0</v>
      </c>
      <c r="I268" s="285">
        <f t="shared" si="19"/>
        <v>0</v>
      </c>
      <c r="J268" s="285"/>
      <c r="K268" s="285"/>
      <c r="L268" s="285"/>
    </row>
    <row r="269" spans="5:12" x14ac:dyDescent="0.25">
      <c r="F269">
        <v>4</v>
      </c>
      <c r="G269" s="5">
        <f t="shared" si="20"/>
        <v>0</v>
      </c>
      <c r="H269" s="285">
        <f t="shared" si="18"/>
        <v>0</v>
      </c>
      <c r="I269" s="285">
        <f t="shared" si="19"/>
        <v>0</v>
      </c>
      <c r="J269" s="285"/>
      <c r="K269" s="285"/>
      <c r="L269" s="285"/>
    </row>
    <row r="270" spans="5:12" x14ac:dyDescent="0.25">
      <c r="F270">
        <v>5</v>
      </c>
      <c r="G270" s="5">
        <f t="shared" si="20"/>
        <v>0</v>
      </c>
      <c r="H270" s="285">
        <f t="shared" si="18"/>
        <v>0</v>
      </c>
      <c r="I270" s="285">
        <f t="shared" si="19"/>
        <v>0</v>
      </c>
      <c r="J270" s="285"/>
      <c r="K270" s="285"/>
      <c r="L270" s="285"/>
    </row>
    <row r="271" spans="5:12" x14ac:dyDescent="0.25">
      <c r="F271">
        <v>6</v>
      </c>
      <c r="G271" s="5">
        <f t="shared" si="20"/>
        <v>0</v>
      </c>
      <c r="H271" s="285">
        <f t="shared" si="18"/>
        <v>0</v>
      </c>
      <c r="I271" s="285">
        <f t="shared" si="19"/>
        <v>0</v>
      </c>
      <c r="J271" s="285"/>
      <c r="K271" s="285"/>
      <c r="L271" s="285"/>
    </row>
    <row r="272" spans="5:12" x14ac:dyDescent="0.25">
      <c r="F272">
        <v>7</v>
      </c>
      <c r="G272" s="5">
        <f t="shared" si="20"/>
        <v>0</v>
      </c>
      <c r="H272" s="285">
        <f t="shared" si="18"/>
        <v>0</v>
      </c>
      <c r="I272" s="285">
        <f t="shared" si="19"/>
        <v>0</v>
      </c>
      <c r="J272" s="285"/>
      <c r="K272" s="285"/>
      <c r="L272" s="285"/>
    </row>
    <row r="273" spans="5:12" x14ac:dyDescent="0.25">
      <c r="F273">
        <v>8</v>
      </c>
      <c r="G273" s="5">
        <f t="shared" si="20"/>
        <v>0</v>
      </c>
      <c r="H273" s="285">
        <f t="shared" si="18"/>
        <v>0</v>
      </c>
      <c r="I273" s="285">
        <f t="shared" si="19"/>
        <v>0</v>
      </c>
      <c r="J273" s="285"/>
      <c r="K273" s="285"/>
      <c r="L273" s="285"/>
    </row>
    <row r="274" spans="5:12" x14ac:dyDescent="0.25">
      <c r="F274">
        <v>9</v>
      </c>
      <c r="G274" s="5">
        <f t="shared" si="20"/>
        <v>0</v>
      </c>
      <c r="H274" s="285">
        <f t="shared" si="18"/>
        <v>0</v>
      </c>
      <c r="I274" s="285">
        <f t="shared" si="19"/>
        <v>0</v>
      </c>
      <c r="J274" s="285"/>
      <c r="K274" s="285"/>
      <c r="L274" s="285"/>
    </row>
    <row r="275" spans="5:12" x14ac:dyDescent="0.25">
      <c r="F275">
        <v>10</v>
      </c>
      <c r="G275" s="5">
        <f t="shared" si="20"/>
        <v>0</v>
      </c>
      <c r="H275" s="285">
        <f t="shared" si="18"/>
        <v>0</v>
      </c>
      <c r="I275" s="285">
        <f t="shared" si="19"/>
        <v>0</v>
      </c>
      <c r="J275" s="285"/>
      <c r="K275" s="285"/>
      <c r="L275" s="285"/>
    </row>
    <row r="276" spans="5:12" x14ac:dyDescent="0.25">
      <c r="F276">
        <v>11</v>
      </c>
      <c r="G276" s="5">
        <f t="shared" si="20"/>
        <v>0</v>
      </c>
      <c r="H276" s="285">
        <f t="shared" si="18"/>
        <v>0</v>
      </c>
      <c r="I276" s="285">
        <f t="shared" si="19"/>
        <v>0</v>
      </c>
      <c r="J276" s="285"/>
      <c r="K276" s="285"/>
      <c r="L276" s="285"/>
    </row>
    <row r="277" spans="5:12" x14ac:dyDescent="0.25">
      <c r="F277">
        <v>12</v>
      </c>
      <c r="G277" s="5">
        <f t="shared" si="20"/>
        <v>0</v>
      </c>
      <c r="H277" s="285">
        <f t="shared" si="18"/>
        <v>0</v>
      </c>
      <c r="I277" s="285">
        <f t="shared" si="19"/>
        <v>0</v>
      </c>
      <c r="J277" s="285">
        <f t="shared" si="17"/>
        <v>0</v>
      </c>
      <c r="K277" s="285"/>
      <c r="L277" s="285"/>
    </row>
    <row r="278" spans="5:12" x14ac:dyDescent="0.25">
      <c r="E278">
        <v>24</v>
      </c>
      <c r="F278">
        <v>1</v>
      </c>
      <c r="G278" s="5">
        <f t="shared" si="20"/>
        <v>0</v>
      </c>
      <c r="H278" s="285">
        <f t="shared" si="18"/>
        <v>0</v>
      </c>
      <c r="I278" s="285">
        <f t="shared" si="19"/>
        <v>0</v>
      </c>
      <c r="J278" s="285"/>
      <c r="K278" s="285"/>
      <c r="L278" s="285"/>
    </row>
    <row r="279" spans="5:12" x14ac:dyDescent="0.25">
      <c r="F279">
        <v>2</v>
      </c>
      <c r="G279" s="5">
        <f t="shared" si="20"/>
        <v>0</v>
      </c>
      <c r="H279" s="285">
        <f t="shared" si="18"/>
        <v>0</v>
      </c>
      <c r="I279" s="285">
        <f t="shared" si="19"/>
        <v>0</v>
      </c>
      <c r="J279" s="285"/>
      <c r="K279" s="285"/>
      <c r="L279" s="285"/>
    </row>
    <row r="280" spans="5:12" x14ac:dyDescent="0.25">
      <c r="F280">
        <v>3</v>
      </c>
      <c r="G280" s="5">
        <f t="shared" si="20"/>
        <v>0</v>
      </c>
      <c r="H280" s="285">
        <f t="shared" si="18"/>
        <v>0</v>
      </c>
      <c r="I280" s="285">
        <f t="shared" si="19"/>
        <v>0</v>
      </c>
      <c r="J280" s="285"/>
      <c r="K280" s="285"/>
      <c r="L280" s="285"/>
    </row>
    <row r="281" spans="5:12" x14ac:dyDescent="0.25">
      <c r="F281">
        <v>4</v>
      </c>
      <c r="G281" s="5">
        <f t="shared" si="20"/>
        <v>0</v>
      </c>
      <c r="H281" s="285">
        <f t="shared" si="18"/>
        <v>0</v>
      </c>
      <c r="I281" s="285">
        <f t="shared" si="19"/>
        <v>0</v>
      </c>
      <c r="J281" s="285"/>
      <c r="K281" s="285"/>
      <c r="L281" s="285"/>
    </row>
    <row r="282" spans="5:12" x14ac:dyDescent="0.25">
      <c r="F282">
        <v>5</v>
      </c>
      <c r="G282" s="5">
        <f t="shared" si="20"/>
        <v>0</v>
      </c>
      <c r="H282" s="285">
        <f t="shared" si="18"/>
        <v>0</v>
      </c>
      <c r="I282" s="285">
        <f t="shared" si="19"/>
        <v>0</v>
      </c>
      <c r="J282" s="285"/>
      <c r="K282" s="285"/>
      <c r="L282" s="285"/>
    </row>
    <row r="283" spans="5:12" x14ac:dyDescent="0.25">
      <c r="F283">
        <v>6</v>
      </c>
      <c r="G283" s="5">
        <f t="shared" si="20"/>
        <v>0</v>
      </c>
      <c r="H283" s="285">
        <f t="shared" si="18"/>
        <v>0</v>
      </c>
      <c r="I283" s="285">
        <f t="shared" si="19"/>
        <v>0</v>
      </c>
      <c r="J283" s="285"/>
      <c r="K283" s="285"/>
      <c r="L283" s="285"/>
    </row>
    <row r="284" spans="5:12" x14ac:dyDescent="0.25">
      <c r="F284">
        <v>7</v>
      </c>
      <c r="G284" s="5">
        <f t="shared" si="20"/>
        <v>0</v>
      </c>
      <c r="H284" s="285">
        <f t="shared" si="18"/>
        <v>0</v>
      </c>
      <c r="I284" s="285">
        <f t="shared" si="19"/>
        <v>0</v>
      </c>
      <c r="J284" s="285"/>
      <c r="K284" s="285"/>
      <c r="L284" s="285"/>
    </row>
    <row r="285" spans="5:12" x14ac:dyDescent="0.25">
      <c r="F285">
        <v>8</v>
      </c>
      <c r="G285" s="5">
        <f t="shared" si="20"/>
        <v>0</v>
      </c>
      <c r="H285" s="285">
        <f t="shared" si="18"/>
        <v>0</v>
      </c>
      <c r="I285" s="285">
        <f t="shared" si="19"/>
        <v>0</v>
      </c>
      <c r="J285" s="285"/>
      <c r="K285" s="285"/>
      <c r="L285" s="285"/>
    </row>
    <row r="286" spans="5:12" x14ac:dyDescent="0.25">
      <c r="F286">
        <v>9</v>
      </c>
      <c r="G286" s="5">
        <f t="shared" si="20"/>
        <v>0</v>
      </c>
      <c r="H286" s="285">
        <f t="shared" si="18"/>
        <v>0</v>
      </c>
      <c r="I286" s="285">
        <f t="shared" si="19"/>
        <v>0</v>
      </c>
      <c r="J286" s="285"/>
      <c r="K286" s="285"/>
      <c r="L286" s="285"/>
    </row>
    <row r="287" spans="5:12" x14ac:dyDescent="0.25">
      <c r="F287">
        <v>10</v>
      </c>
      <c r="G287" s="5">
        <f t="shared" si="20"/>
        <v>0</v>
      </c>
      <c r="H287" s="285">
        <f t="shared" si="18"/>
        <v>0</v>
      </c>
      <c r="I287" s="285">
        <f t="shared" si="19"/>
        <v>0</v>
      </c>
      <c r="J287" s="285"/>
      <c r="K287" s="285"/>
      <c r="L287" s="285"/>
    </row>
    <row r="288" spans="5:12" x14ac:dyDescent="0.25">
      <c r="F288">
        <v>11</v>
      </c>
      <c r="G288" s="5">
        <f t="shared" si="20"/>
        <v>0</v>
      </c>
      <c r="H288" s="285">
        <f t="shared" si="18"/>
        <v>0</v>
      </c>
      <c r="I288" s="285">
        <f t="shared" si="19"/>
        <v>0</v>
      </c>
      <c r="J288" s="285"/>
      <c r="K288" s="285"/>
      <c r="L288" s="285"/>
    </row>
    <row r="289" spans="5:12" x14ac:dyDescent="0.25">
      <c r="F289">
        <v>12</v>
      </c>
      <c r="G289" s="5">
        <f t="shared" si="20"/>
        <v>0</v>
      </c>
      <c r="H289" s="285">
        <f t="shared" si="18"/>
        <v>0</v>
      </c>
      <c r="I289" s="285">
        <f t="shared" si="19"/>
        <v>0</v>
      </c>
      <c r="J289" s="285">
        <f t="shared" si="17"/>
        <v>0</v>
      </c>
      <c r="K289" s="285"/>
      <c r="L289" s="285"/>
    </row>
    <row r="290" spans="5:12" x14ac:dyDescent="0.25">
      <c r="E290">
        <v>25</v>
      </c>
      <c r="F290">
        <v>1</v>
      </c>
      <c r="G290" s="5">
        <f t="shared" si="20"/>
        <v>0</v>
      </c>
      <c r="H290" s="285">
        <f t="shared" si="18"/>
        <v>0</v>
      </c>
      <c r="I290" s="285">
        <f t="shared" si="19"/>
        <v>0</v>
      </c>
      <c r="J290" s="285"/>
      <c r="K290" s="285"/>
      <c r="L290" s="285"/>
    </row>
    <row r="291" spans="5:12" x14ac:dyDescent="0.25">
      <c r="F291">
        <v>2</v>
      </c>
      <c r="G291" s="5">
        <f t="shared" si="20"/>
        <v>0</v>
      </c>
      <c r="H291" s="285">
        <f t="shared" si="18"/>
        <v>0</v>
      </c>
      <c r="I291" s="285">
        <f t="shared" si="19"/>
        <v>0</v>
      </c>
      <c r="J291" s="285"/>
      <c r="K291" s="285"/>
      <c r="L291" s="285"/>
    </row>
    <row r="292" spans="5:12" x14ac:dyDescent="0.25">
      <c r="F292">
        <v>3</v>
      </c>
      <c r="G292" s="5">
        <f t="shared" si="20"/>
        <v>0</v>
      </c>
      <c r="H292" s="285">
        <f t="shared" si="18"/>
        <v>0</v>
      </c>
      <c r="I292" s="285">
        <f t="shared" si="19"/>
        <v>0</v>
      </c>
      <c r="J292" s="285"/>
      <c r="K292" s="285"/>
      <c r="L292" s="285"/>
    </row>
    <row r="293" spans="5:12" x14ac:dyDescent="0.25">
      <c r="F293">
        <v>4</v>
      </c>
      <c r="G293" s="5">
        <f t="shared" si="20"/>
        <v>0</v>
      </c>
      <c r="H293" s="285">
        <f t="shared" si="18"/>
        <v>0</v>
      </c>
      <c r="I293" s="285">
        <f t="shared" si="19"/>
        <v>0</v>
      </c>
      <c r="J293" s="285"/>
      <c r="K293" s="285"/>
      <c r="L293" s="285"/>
    </row>
    <row r="294" spans="5:12" x14ac:dyDescent="0.25">
      <c r="F294">
        <v>5</v>
      </c>
      <c r="G294" s="5">
        <f t="shared" si="20"/>
        <v>0</v>
      </c>
      <c r="H294" s="285">
        <f t="shared" si="18"/>
        <v>0</v>
      </c>
      <c r="I294" s="285">
        <f t="shared" si="19"/>
        <v>0</v>
      </c>
      <c r="J294" s="285"/>
      <c r="K294" s="285"/>
      <c r="L294" s="285"/>
    </row>
    <row r="295" spans="5:12" x14ac:dyDescent="0.25">
      <c r="F295">
        <v>6</v>
      </c>
      <c r="G295" s="5">
        <f t="shared" si="20"/>
        <v>0</v>
      </c>
      <c r="H295" s="285">
        <f t="shared" si="18"/>
        <v>0</v>
      </c>
      <c r="I295" s="285">
        <f t="shared" si="19"/>
        <v>0</v>
      </c>
      <c r="J295" s="285"/>
      <c r="K295" s="285"/>
      <c r="L295" s="285"/>
    </row>
    <row r="296" spans="5:12" x14ac:dyDescent="0.25">
      <c r="F296">
        <v>7</v>
      </c>
      <c r="G296" s="5">
        <f t="shared" si="20"/>
        <v>0</v>
      </c>
      <c r="H296" s="285">
        <f t="shared" si="18"/>
        <v>0</v>
      </c>
      <c r="I296" s="285">
        <f t="shared" si="19"/>
        <v>0</v>
      </c>
      <c r="J296" s="285"/>
      <c r="K296" s="285"/>
      <c r="L296" s="285"/>
    </row>
    <row r="297" spans="5:12" x14ac:dyDescent="0.25">
      <c r="F297">
        <v>8</v>
      </c>
      <c r="G297" s="5">
        <f t="shared" si="20"/>
        <v>0</v>
      </c>
      <c r="H297" s="285">
        <f t="shared" si="18"/>
        <v>0</v>
      </c>
      <c r="I297" s="285">
        <f t="shared" si="19"/>
        <v>0</v>
      </c>
      <c r="J297" s="285"/>
      <c r="K297" s="285"/>
      <c r="L297" s="285"/>
    </row>
    <row r="298" spans="5:12" x14ac:dyDescent="0.25">
      <c r="F298">
        <v>9</v>
      </c>
      <c r="G298" s="5">
        <f t="shared" si="20"/>
        <v>0</v>
      </c>
      <c r="H298" s="285">
        <f t="shared" si="18"/>
        <v>0</v>
      </c>
      <c r="I298" s="285">
        <f t="shared" si="19"/>
        <v>0</v>
      </c>
      <c r="J298" s="285"/>
      <c r="K298" s="285"/>
      <c r="L298" s="285"/>
    </row>
    <row r="299" spans="5:12" x14ac:dyDescent="0.25">
      <c r="F299">
        <v>10</v>
      </c>
      <c r="G299" s="5">
        <f t="shared" si="20"/>
        <v>0</v>
      </c>
      <c r="H299" s="285">
        <f t="shared" si="18"/>
        <v>0</v>
      </c>
      <c r="I299" s="285">
        <f t="shared" si="19"/>
        <v>0</v>
      </c>
      <c r="J299" s="285"/>
      <c r="K299" s="285"/>
      <c r="L299" s="285"/>
    </row>
    <row r="300" spans="5:12" x14ac:dyDescent="0.25">
      <c r="F300">
        <v>11</v>
      </c>
      <c r="G300" s="5">
        <f t="shared" si="20"/>
        <v>0</v>
      </c>
      <c r="H300" s="285">
        <f t="shared" si="18"/>
        <v>0</v>
      </c>
      <c r="I300" s="285">
        <f t="shared" si="19"/>
        <v>0</v>
      </c>
      <c r="J300" s="285"/>
      <c r="K300" s="285"/>
      <c r="L300" s="285"/>
    </row>
    <row r="301" spans="5:12" x14ac:dyDescent="0.25">
      <c r="F301">
        <v>12</v>
      </c>
      <c r="G301" s="5">
        <f t="shared" si="20"/>
        <v>0</v>
      </c>
      <c r="H301" s="285">
        <f t="shared" si="18"/>
        <v>0</v>
      </c>
      <c r="I301" s="285">
        <f t="shared" si="19"/>
        <v>0</v>
      </c>
      <c r="J301" s="285">
        <f t="shared" si="17"/>
        <v>0</v>
      </c>
      <c r="K301" s="285"/>
      <c r="L301" s="285"/>
    </row>
    <row r="302" spans="5:12" x14ac:dyDescent="0.25">
      <c r="E302">
        <v>26</v>
      </c>
      <c r="F302">
        <v>1</v>
      </c>
      <c r="G302" s="5">
        <f t="shared" si="20"/>
        <v>0</v>
      </c>
      <c r="H302" s="285">
        <f t="shared" si="18"/>
        <v>0</v>
      </c>
      <c r="I302" s="285">
        <f t="shared" si="19"/>
        <v>0</v>
      </c>
      <c r="J302" s="285"/>
      <c r="K302" s="285"/>
      <c r="L302" s="285"/>
    </row>
    <row r="303" spans="5:12" x14ac:dyDescent="0.25">
      <c r="F303">
        <v>2</v>
      </c>
      <c r="G303" s="5">
        <f t="shared" si="20"/>
        <v>0</v>
      </c>
      <c r="H303" s="285">
        <f t="shared" si="18"/>
        <v>0</v>
      </c>
      <c r="I303" s="285">
        <f t="shared" si="19"/>
        <v>0</v>
      </c>
      <c r="J303" s="285"/>
      <c r="K303" s="285"/>
      <c r="L303" s="285"/>
    </row>
    <row r="304" spans="5:12" x14ac:dyDescent="0.25">
      <c r="F304">
        <v>3</v>
      </c>
      <c r="G304" s="5">
        <f t="shared" si="20"/>
        <v>0</v>
      </c>
      <c r="H304" s="285">
        <f t="shared" si="18"/>
        <v>0</v>
      </c>
      <c r="I304" s="285">
        <f t="shared" si="19"/>
        <v>0</v>
      </c>
      <c r="J304" s="285"/>
      <c r="K304" s="285"/>
      <c r="L304" s="285"/>
    </row>
    <row r="305" spans="5:12" x14ac:dyDescent="0.25">
      <c r="F305">
        <v>4</v>
      </c>
      <c r="G305" s="5">
        <f t="shared" si="20"/>
        <v>0</v>
      </c>
      <c r="H305" s="285">
        <f t="shared" si="18"/>
        <v>0</v>
      </c>
      <c r="I305" s="285">
        <f t="shared" si="19"/>
        <v>0</v>
      </c>
      <c r="J305" s="285"/>
      <c r="K305" s="285"/>
      <c r="L305" s="285"/>
    </row>
    <row r="306" spans="5:12" x14ac:dyDescent="0.25">
      <c r="F306">
        <v>5</v>
      </c>
      <c r="G306" s="5">
        <f t="shared" si="20"/>
        <v>0</v>
      </c>
      <c r="H306" s="285">
        <f t="shared" si="18"/>
        <v>0</v>
      </c>
      <c r="I306" s="285">
        <f t="shared" si="19"/>
        <v>0</v>
      </c>
      <c r="J306" s="285"/>
      <c r="K306" s="285"/>
      <c r="L306" s="285"/>
    </row>
    <row r="307" spans="5:12" x14ac:dyDescent="0.25">
      <c r="F307">
        <v>6</v>
      </c>
      <c r="G307" s="5">
        <f t="shared" si="20"/>
        <v>0</v>
      </c>
      <c r="H307" s="285">
        <f t="shared" si="18"/>
        <v>0</v>
      </c>
      <c r="I307" s="285">
        <f t="shared" si="19"/>
        <v>0</v>
      </c>
      <c r="J307" s="285"/>
      <c r="K307" s="285"/>
      <c r="L307" s="285"/>
    </row>
    <row r="308" spans="5:12" x14ac:dyDescent="0.25">
      <c r="F308">
        <v>7</v>
      </c>
      <c r="G308" s="5">
        <f t="shared" si="20"/>
        <v>0</v>
      </c>
      <c r="H308" s="285">
        <f t="shared" si="18"/>
        <v>0</v>
      </c>
      <c r="I308" s="285">
        <f t="shared" si="19"/>
        <v>0</v>
      </c>
      <c r="J308" s="285"/>
      <c r="K308" s="285"/>
      <c r="L308" s="285"/>
    </row>
    <row r="309" spans="5:12" x14ac:dyDescent="0.25">
      <c r="F309">
        <v>8</v>
      </c>
      <c r="G309" s="5">
        <f t="shared" si="20"/>
        <v>0</v>
      </c>
      <c r="H309" s="285">
        <f t="shared" si="18"/>
        <v>0</v>
      </c>
      <c r="I309" s="285">
        <f t="shared" si="19"/>
        <v>0</v>
      </c>
      <c r="J309" s="285"/>
      <c r="K309" s="285"/>
      <c r="L309" s="285"/>
    </row>
    <row r="310" spans="5:12" x14ac:dyDescent="0.25">
      <c r="F310">
        <v>9</v>
      </c>
      <c r="G310" s="5">
        <f t="shared" si="20"/>
        <v>0</v>
      </c>
      <c r="H310" s="285">
        <f t="shared" si="18"/>
        <v>0</v>
      </c>
      <c r="I310" s="285">
        <f t="shared" si="19"/>
        <v>0</v>
      </c>
      <c r="J310" s="285"/>
      <c r="K310" s="285"/>
      <c r="L310" s="285"/>
    </row>
    <row r="311" spans="5:12" x14ac:dyDescent="0.25">
      <c r="F311">
        <v>10</v>
      </c>
      <c r="G311" s="5">
        <f t="shared" si="20"/>
        <v>0</v>
      </c>
      <c r="H311" s="285">
        <f t="shared" si="18"/>
        <v>0</v>
      </c>
      <c r="I311" s="285">
        <f t="shared" si="19"/>
        <v>0</v>
      </c>
      <c r="J311" s="285"/>
      <c r="K311" s="285"/>
      <c r="L311" s="285"/>
    </row>
    <row r="312" spans="5:12" x14ac:dyDescent="0.25">
      <c r="F312">
        <v>11</v>
      </c>
      <c r="G312" s="5">
        <f t="shared" si="20"/>
        <v>0</v>
      </c>
      <c r="H312" s="285">
        <f t="shared" si="18"/>
        <v>0</v>
      </c>
      <c r="I312" s="285">
        <f t="shared" si="19"/>
        <v>0</v>
      </c>
      <c r="J312" s="285"/>
      <c r="K312" s="285"/>
      <c r="L312" s="285"/>
    </row>
    <row r="313" spans="5:12" x14ac:dyDescent="0.25">
      <c r="F313">
        <v>12</v>
      </c>
      <c r="G313" s="5">
        <f t="shared" si="20"/>
        <v>0</v>
      </c>
      <c r="H313" s="285">
        <f t="shared" si="18"/>
        <v>0</v>
      </c>
      <c r="I313" s="285">
        <f t="shared" si="19"/>
        <v>0</v>
      </c>
      <c r="J313" s="285">
        <f t="shared" ref="J313:J361" si="21">SUM(I302:I313)</f>
        <v>0</v>
      </c>
      <c r="K313" s="285"/>
      <c r="L313" s="285"/>
    </row>
    <row r="314" spans="5:12" x14ac:dyDescent="0.25">
      <c r="E314">
        <v>27</v>
      </c>
      <c r="F314">
        <v>1</v>
      </c>
      <c r="G314" s="5">
        <f t="shared" si="20"/>
        <v>0</v>
      </c>
      <c r="H314" s="285">
        <f t="shared" si="18"/>
        <v>0</v>
      </c>
      <c r="I314" s="285">
        <f t="shared" si="19"/>
        <v>0</v>
      </c>
      <c r="J314" s="285"/>
      <c r="K314" s="285"/>
      <c r="L314" s="285"/>
    </row>
    <row r="315" spans="5:12" x14ac:dyDescent="0.25">
      <c r="F315">
        <v>2</v>
      </c>
      <c r="G315" s="5">
        <f t="shared" si="20"/>
        <v>0</v>
      </c>
      <c r="H315" s="285">
        <f t="shared" si="18"/>
        <v>0</v>
      </c>
      <c r="I315" s="285">
        <f t="shared" si="19"/>
        <v>0</v>
      </c>
      <c r="J315" s="285"/>
      <c r="K315" s="285"/>
      <c r="L315" s="285"/>
    </row>
    <row r="316" spans="5:12" x14ac:dyDescent="0.25">
      <c r="F316">
        <v>3</v>
      </c>
      <c r="G316" s="5">
        <f t="shared" si="20"/>
        <v>0</v>
      </c>
      <c r="H316" s="285">
        <f t="shared" si="18"/>
        <v>0</v>
      </c>
      <c r="I316" s="285">
        <f t="shared" si="19"/>
        <v>0</v>
      </c>
      <c r="J316" s="285"/>
      <c r="K316" s="285"/>
      <c r="L316" s="285"/>
    </row>
    <row r="317" spans="5:12" x14ac:dyDescent="0.25">
      <c r="F317">
        <v>4</v>
      </c>
      <c r="G317" s="5">
        <f t="shared" si="20"/>
        <v>0</v>
      </c>
      <c r="H317" s="285">
        <f t="shared" si="18"/>
        <v>0</v>
      </c>
      <c r="I317" s="285">
        <f t="shared" si="19"/>
        <v>0</v>
      </c>
      <c r="J317" s="285"/>
      <c r="K317" s="285"/>
      <c r="L317" s="285"/>
    </row>
    <row r="318" spans="5:12" x14ac:dyDescent="0.25">
      <c r="F318">
        <v>5</v>
      </c>
      <c r="G318" s="5">
        <f t="shared" si="20"/>
        <v>0</v>
      </c>
      <c r="H318" s="285">
        <f t="shared" si="18"/>
        <v>0</v>
      </c>
      <c r="I318" s="285">
        <f t="shared" si="19"/>
        <v>0</v>
      </c>
      <c r="J318" s="285"/>
      <c r="K318" s="285"/>
      <c r="L318" s="285"/>
    </row>
    <row r="319" spans="5:12" x14ac:dyDescent="0.25">
      <c r="F319">
        <v>6</v>
      </c>
      <c r="G319" s="5">
        <f t="shared" si="20"/>
        <v>0</v>
      </c>
      <c r="H319" s="285">
        <f t="shared" si="18"/>
        <v>0</v>
      </c>
      <c r="I319" s="285">
        <f t="shared" si="19"/>
        <v>0</v>
      </c>
      <c r="J319" s="285"/>
      <c r="K319" s="285"/>
      <c r="L319" s="285"/>
    </row>
    <row r="320" spans="5:12" x14ac:dyDescent="0.25">
      <c r="F320">
        <v>7</v>
      </c>
      <c r="G320" s="5">
        <f t="shared" si="20"/>
        <v>0</v>
      </c>
      <c r="H320" s="285">
        <f t="shared" si="18"/>
        <v>0</v>
      </c>
      <c r="I320" s="285">
        <f t="shared" si="19"/>
        <v>0</v>
      </c>
      <c r="J320" s="285"/>
      <c r="K320" s="285"/>
      <c r="L320" s="285"/>
    </row>
    <row r="321" spans="5:12" x14ac:dyDescent="0.25">
      <c r="F321">
        <v>8</v>
      </c>
      <c r="G321" s="5">
        <f t="shared" si="20"/>
        <v>0</v>
      </c>
      <c r="H321" s="285">
        <f t="shared" si="18"/>
        <v>0</v>
      </c>
      <c r="I321" s="285">
        <f t="shared" si="19"/>
        <v>0</v>
      </c>
      <c r="J321" s="285"/>
      <c r="K321" s="285"/>
      <c r="L321" s="285"/>
    </row>
    <row r="322" spans="5:12" x14ac:dyDescent="0.25">
      <c r="F322">
        <v>9</v>
      </c>
      <c r="G322" s="5">
        <f t="shared" si="20"/>
        <v>0</v>
      </c>
      <c r="H322" s="285">
        <f t="shared" si="18"/>
        <v>0</v>
      </c>
      <c r="I322" s="285">
        <f t="shared" si="19"/>
        <v>0</v>
      </c>
      <c r="J322" s="285"/>
      <c r="K322" s="285"/>
      <c r="L322" s="285"/>
    </row>
    <row r="323" spans="5:12" x14ac:dyDescent="0.25">
      <c r="F323">
        <v>10</v>
      </c>
      <c r="G323" s="5">
        <f t="shared" si="20"/>
        <v>0</v>
      </c>
      <c r="H323" s="285">
        <f t="shared" ref="H323:H361" si="22">G323*$C$5</f>
        <v>0</v>
      </c>
      <c r="I323" s="285">
        <f t="shared" ref="I323:I361" si="23">H323+$C$3</f>
        <v>0</v>
      </c>
      <c r="J323" s="285"/>
      <c r="K323" s="285"/>
      <c r="L323" s="285"/>
    </row>
    <row r="324" spans="5:12" x14ac:dyDescent="0.25">
      <c r="F324">
        <v>11</v>
      </c>
      <c r="G324" s="5">
        <f t="shared" ref="G324:G361" si="24">G323-$C$3</f>
        <v>0</v>
      </c>
      <c r="H324" s="285">
        <f t="shared" si="22"/>
        <v>0</v>
      </c>
      <c r="I324" s="285">
        <f t="shared" si="23"/>
        <v>0</v>
      </c>
      <c r="J324" s="285"/>
      <c r="K324" s="285"/>
      <c r="L324" s="285"/>
    </row>
    <row r="325" spans="5:12" x14ac:dyDescent="0.25">
      <c r="F325">
        <v>12</v>
      </c>
      <c r="G325" s="5">
        <f t="shared" si="24"/>
        <v>0</v>
      </c>
      <c r="H325" s="285">
        <f t="shared" si="22"/>
        <v>0</v>
      </c>
      <c r="I325" s="285">
        <f t="shared" si="23"/>
        <v>0</v>
      </c>
      <c r="J325" s="285">
        <f t="shared" si="21"/>
        <v>0</v>
      </c>
      <c r="K325" s="285"/>
      <c r="L325" s="285"/>
    </row>
    <row r="326" spans="5:12" x14ac:dyDescent="0.25">
      <c r="E326">
        <v>28</v>
      </c>
      <c r="F326">
        <v>1</v>
      </c>
      <c r="G326" s="5">
        <f t="shared" si="24"/>
        <v>0</v>
      </c>
      <c r="H326" s="285">
        <f t="shared" si="22"/>
        <v>0</v>
      </c>
      <c r="I326" s="285">
        <f t="shared" si="23"/>
        <v>0</v>
      </c>
      <c r="J326" s="285"/>
      <c r="K326" s="285"/>
      <c r="L326" s="285"/>
    </row>
    <row r="327" spans="5:12" x14ac:dyDescent="0.25">
      <c r="F327">
        <v>2</v>
      </c>
      <c r="G327" s="5">
        <f t="shared" si="24"/>
        <v>0</v>
      </c>
      <c r="H327" s="285">
        <f t="shared" si="22"/>
        <v>0</v>
      </c>
      <c r="I327" s="285">
        <f t="shared" si="23"/>
        <v>0</v>
      </c>
      <c r="J327" s="285"/>
      <c r="K327" s="285"/>
      <c r="L327" s="285"/>
    </row>
    <row r="328" spans="5:12" x14ac:dyDescent="0.25">
      <c r="F328">
        <v>3</v>
      </c>
      <c r="G328" s="5">
        <f t="shared" si="24"/>
        <v>0</v>
      </c>
      <c r="H328" s="285">
        <f t="shared" si="22"/>
        <v>0</v>
      </c>
      <c r="I328" s="285">
        <f t="shared" si="23"/>
        <v>0</v>
      </c>
      <c r="J328" s="285"/>
      <c r="K328" s="285"/>
      <c r="L328" s="285"/>
    </row>
    <row r="329" spans="5:12" x14ac:dyDescent="0.25">
      <c r="F329">
        <v>4</v>
      </c>
      <c r="G329" s="5">
        <f t="shared" si="24"/>
        <v>0</v>
      </c>
      <c r="H329" s="285">
        <f t="shared" si="22"/>
        <v>0</v>
      </c>
      <c r="I329" s="285">
        <f t="shared" si="23"/>
        <v>0</v>
      </c>
      <c r="J329" s="285"/>
      <c r="K329" s="285"/>
      <c r="L329" s="285"/>
    </row>
    <row r="330" spans="5:12" x14ac:dyDescent="0.25">
      <c r="F330">
        <v>5</v>
      </c>
      <c r="G330" s="5">
        <f t="shared" si="24"/>
        <v>0</v>
      </c>
      <c r="H330" s="285">
        <f t="shared" si="22"/>
        <v>0</v>
      </c>
      <c r="I330" s="285">
        <f t="shared" si="23"/>
        <v>0</v>
      </c>
      <c r="J330" s="285"/>
      <c r="K330" s="285"/>
      <c r="L330" s="285"/>
    </row>
    <row r="331" spans="5:12" x14ac:dyDescent="0.25">
      <c r="F331">
        <v>6</v>
      </c>
      <c r="G331" s="5">
        <f t="shared" si="24"/>
        <v>0</v>
      </c>
      <c r="H331" s="285">
        <f t="shared" si="22"/>
        <v>0</v>
      </c>
      <c r="I331" s="285">
        <f t="shared" si="23"/>
        <v>0</v>
      </c>
      <c r="J331" s="285"/>
      <c r="K331" s="285"/>
      <c r="L331" s="285"/>
    </row>
    <row r="332" spans="5:12" x14ac:dyDescent="0.25">
      <c r="F332">
        <v>7</v>
      </c>
      <c r="G332" s="5">
        <f t="shared" si="24"/>
        <v>0</v>
      </c>
      <c r="H332" s="285">
        <f t="shared" si="22"/>
        <v>0</v>
      </c>
      <c r="I332" s="285">
        <f t="shared" si="23"/>
        <v>0</v>
      </c>
      <c r="J332" s="285"/>
      <c r="K332" s="285"/>
      <c r="L332" s="285"/>
    </row>
    <row r="333" spans="5:12" x14ac:dyDescent="0.25">
      <c r="F333">
        <v>8</v>
      </c>
      <c r="G333" s="5">
        <f t="shared" si="24"/>
        <v>0</v>
      </c>
      <c r="H333" s="285">
        <f t="shared" si="22"/>
        <v>0</v>
      </c>
      <c r="I333" s="285">
        <f t="shared" si="23"/>
        <v>0</v>
      </c>
      <c r="J333" s="285"/>
      <c r="K333" s="285"/>
      <c r="L333" s="285"/>
    </row>
    <row r="334" spans="5:12" x14ac:dyDescent="0.25">
      <c r="F334">
        <v>9</v>
      </c>
      <c r="G334" s="5">
        <f t="shared" si="24"/>
        <v>0</v>
      </c>
      <c r="H334" s="285">
        <f t="shared" si="22"/>
        <v>0</v>
      </c>
      <c r="I334" s="285">
        <f t="shared" si="23"/>
        <v>0</v>
      </c>
      <c r="J334" s="285"/>
      <c r="K334" s="285"/>
      <c r="L334" s="285"/>
    </row>
    <row r="335" spans="5:12" x14ac:dyDescent="0.25">
      <c r="F335">
        <v>10</v>
      </c>
      <c r="G335" s="5">
        <f t="shared" si="24"/>
        <v>0</v>
      </c>
      <c r="H335" s="285">
        <f t="shared" si="22"/>
        <v>0</v>
      </c>
      <c r="I335" s="285">
        <f t="shared" si="23"/>
        <v>0</v>
      </c>
      <c r="J335" s="285"/>
      <c r="K335" s="285"/>
      <c r="L335" s="285"/>
    </row>
    <row r="336" spans="5:12" x14ac:dyDescent="0.25">
      <c r="F336">
        <v>11</v>
      </c>
      <c r="G336" s="5">
        <f t="shared" si="24"/>
        <v>0</v>
      </c>
      <c r="H336" s="285">
        <f t="shared" si="22"/>
        <v>0</v>
      </c>
      <c r="I336" s="285">
        <f t="shared" si="23"/>
        <v>0</v>
      </c>
      <c r="J336" s="285"/>
      <c r="K336" s="285"/>
      <c r="L336" s="285"/>
    </row>
    <row r="337" spans="5:12" x14ac:dyDescent="0.25">
      <c r="F337">
        <v>12</v>
      </c>
      <c r="G337" s="5">
        <f t="shared" si="24"/>
        <v>0</v>
      </c>
      <c r="H337" s="285">
        <f t="shared" si="22"/>
        <v>0</v>
      </c>
      <c r="I337" s="285">
        <f t="shared" si="23"/>
        <v>0</v>
      </c>
      <c r="J337" s="285">
        <f t="shared" si="21"/>
        <v>0</v>
      </c>
      <c r="K337" s="285"/>
      <c r="L337" s="285"/>
    </row>
    <row r="338" spans="5:12" x14ac:dyDescent="0.25">
      <c r="E338">
        <v>29</v>
      </c>
      <c r="F338">
        <v>1</v>
      </c>
      <c r="G338" s="5">
        <f t="shared" si="24"/>
        <v>0</v>
      </c>
      <c r="H338" s="285">
        <f t="shared" si="22"/>
        <v>0</v>
      </c>
      <c r="I338" s="285">
        <f t="shared" si="23"/>
        <v>0</v>
      </c>
      <c r="J338" s="285"/>
      <c r="K338" s="285"/>
      <c r="L338" s="285"/>
    </row>
    <row r="339" spans="5:12" x14ac:dyDescent="0.25">
      <c r="F339">
        <v>2</v>
      </c>
      <c r="G339" s="5">
        <f t="shared" si="24"/>
        <v>0</v>
      </c>
      <c r="H339" s="285">
        <f t="shared" si="22"/>
        <v>0</v>
      </c>
      <c r="I339" s="285">
        <f t="shared" si="23"/>
        <v>0</v>
      </c>
      <c r="J339" s="285"/>
      <c r="K339" s="285"/>
      <c r="L339" s="285"/>
    </row>
    <row r="340" spans="5:12" x14ac:dyDescent="0.25">
      <c r="F340">
        <v>3</v>
      </c>
      <c r="G340" s="5">
        <f t="shared" si="24"/>
        <v>0</v>
      </c>
      <c r="H340" s="285">
        <f t="shared" si="22"/>
        <v>0</v>
      </c>
      <c r="I340" s="285">
        <f t="shared" si="23"/>
        <v>0</v>
      </c>
      <c r="J340" s="285"/>
      <c r="K340" s="285"/>
      <c r="L340" s="285"/>
    </row>
    <row r="341" spans="5:12" x14ac:dyDescent="0.25">
      <c r="F341">
        <v>4</v>
      </c>
      <c r="G341" s="5">
        <f t="shared" si="24"/>
        <v>0</v>
      </c>
      <c r="H341" s="285">
        <f t="shared" si="22"/>
        <v>0</v>
      </c>
      <c r="I341" s="285">
        <f t="shared" si="23"/>
        <v>0</v>
      </c>
      <c r="J341" s="285"/>
      <c r="K341" s="285"/>
      <c r="L341" s="285"/>
    </row>
    <row r="342" spans="5:12" x14ac:dyDescent="0.25">
      <c r="F342">
        <v>5</v>
      </c>
      <c r="G342" s="5">
        <f t="shared" si="24"/>
        <v>0</v>
      </c>
      <c r="H342" s="285">
        <f t="shared" si="22"/>
        <v>0</v>
      </c>
      <c r="I342" s="285">
        <f t="shared" si="23"/>
        <v>0</v>
      </c>
      <c r="J342" s="285"/>
      <c r="K342" s="285"/>
      <c r="L342" s="285"/>
    </row>
    <row r="343" spans="5:12" x14ac:dyDescent="0.25">
      <c r="F343">
        <v>6</v>
      </c>
      <c r="G343" s="5">
        <f t="shared" si="24"/>
        <v>0</v>
      </c>
      <c r="H343" s="285">
        <f t="shared" si="22"/>
        <v>0</v>
      </c>
      <c r="I343" s="285">
        <f t="shared" si="23"/>
        <v>0</v>
      </c>
      <c r="J343" s="285"/>
      <c r="K343" s="285"/>
      <c r="L343" s="285"/>
    </row>
    <row r="344" spans="5:12" x14ac:dyDescent="0.25">
      <c r="F344">
        <v>7</v>
      </c>
      <c r="G344" s="5">
        <f t="shared" si="24"/>
        <v>0</v>
      </c>
      <c r="H344" s="285">
        <f t="shared" si="22"/>
        <v>0</v>
      </c>
      <c r="I344" s="285">
        <f t="shared" si="23"/>
        <v>0</v>
      </c>
      <c r="J344" s="285"/>
      <c r="K344" s="285"/>
      <c r="L344" s="285"/>
    </row>
    <row r="345" spans="5:12" x14ac:dyDescent="0.25">
      <c r="F345">
        <v>8</v>
      </c>
      <c r="G345" s="5">
        <f t="shared" si="24"/>
        <v>0</v>
      </c>
      <c r="H345" s="285">
        <f t="shared" si="22"/>
        <v>0</v>
      </c>
      <c r="I345" s="285">
        <f t="shared" si="23"/>
        <v>0</v>
      </c>
      <c r="J345" s="285"/>
      <c r="K345" s="285"/>
      <c r="L345" s="285"/>
    </row>
    <row r="346" spans="5:12" x14ac:dyDescent="0.25">
      <c r="F346">
        <v>9</v>
      </c>
      <c r="G346" s="5">
        <f t="shared" si="24"/>
        <v>0</v>
      </c>
      <c r="H346" s="285">
        <f t="shared" si="22"/>
        <v>0</v>
      </c>
      <c r="I346" s="285">
        <f t="shared" si="23"/>
        <v>0</v>
      </c>
      <c r="J346" s="285"/>
      <c r="K346" s="285"/>
      <c r="L346" s="285"/>
    </row>
    <row r="347" spans="5:12" x14ac:dyDescent="0.25">
      <c r="F347">
        <v>10</v>
      </c>
      <c r="G347" s="5">
        <f t="shared" si="24"/>
        <v>0</v>
      </c>
      <c r="H347" s="285">
        <f t="shared" si="22"/>
        <v>0</v>
      </c>
      <c r="I347" s="285">
        <f t="shared" si="23"/>
        <v>0</v>
      </c>
      <c r="J347" s="285"/>
      <c r="K347" s="285"/>
      <c r="L347" s="285"/>
    </row>
    <row r="348" spans="5:12" x14ac:dyDescent="0.25">
      <c r="F348">
        <v>11</v>
      </c>
      <c r="G348" s="5">
        <f t="shared" si="24"/>
        <v>0</v>
      </c>
      <c r="H348" s="285">
        <f t="shared" si="22"/>
        <v>0</v>
      </c>
      <c r="I348" s="285">
        <f t="shared" si="23"/>
        <v>0</v>
      </c>
      <c r="J348" s="285"/>
      <c r="K348" s="285"/>
      <c r="L348" s="285"/>
    </row>
    <row r="349" spans="5:12" x14ac:dyDescent="0.25">
      <c r="F349">
        <v>12</v>
      </c>
      <c r="G349" s="5">
        <f t="shared" si="24"/>
        <v>0</v>
      </c>
      <c r="H349" s="285">
        <f t="shared" si="22"/>
        <v>0</v>
      </c>
      <c r="I349" s="285">
        <f t="shared" si="23"/>
        <v>0</v>
      </c>
      <c r="J349" s="285">
        <f t="shared" si="21"/>
        <v>0</v>
      </c>
      <c r="K349" s="285"/>
      <c r="L349" s="285"/>
    </row>
    <row r="350" spans="5:12" x14ac:dyDescent="0.25">
      <c r="E350">
        <v>30</v>
      </c>
      <c r="F350">
        <v>1</v>
      </c>
      <c r="G350" s="5">
        <f t="shared" si="24"/>
        <v>0</v>
      </c>
      <c r="H350" s="285">
        <f t="shared" si="22"/>
        <v>0</v>
      </c>
      <c r="I350" s="285">
        <f t="shared" si="23"/>
        <v>0</v>
      </c>
      <c r="J350" s="285"/>
      <c r="K350" s="285"/>
      <c r="L350" s="285"/>
    </row>
    <row r="351" spans="5:12" x14ac:dyDescent="0.25">
      <c r="F351">
        <v>2</v>
      </c>
      <c r="G351" s="5">
        <f t="shared" si="24"/>
        <v>0</v>
      </c>
      <c r="H351" s="285">
        <f t="shared" si="22"/>
        <v>0</v>
      </c>
      <c r="I351" s="285">
        <f t="shared" si="23"/>
        <v>0</v>
      </c>
      <c r="J351" s="285"/>
      <c r="K351" s="285"/>
      <c r="L351" s="285"/>
    </row>
    <row r="352" spans="5:12" x14ac:dyDescent="0.25">
      <c r="F352">
        <v>3</v>
      </c>
      <c r="G352" s="5">
        <f t="shared" si="24"/>
        <v>0</v>
      </c>
      <c r="H352" s="285">
        <f t="shared" si="22"/>
        <v>0</v>
      </c>
      <c r="I352" s="285">
        <f t="shared" si="23"/>
        <v>0</v>
      </c>
      <c r="J352" s="285"/>
      <c r="K352" s="285"/>
      <c r="L352" s="285"/>
    </row>
    <row r="353" spans="6:12" x14ac:dyDescent="0.25">
      <c r="F353">
        <v>4</v>
      </c>
      <c r="G353" s="5">
        <f t="shared" si="24"/>
        <v>0</v>
      </c>
      <c r="H353" s="285">
        <f t="shared" si="22"/>
        <v>0</v>
      </c>
      <c r="I353" s="285">
        <f t="shared" si="23"/>
        <v>0</v>
      </c>
      <c r="J353" s="285"/>
      <c r="K353" s="285"/>
      <c r="L353" s="285"/>
    </row>
    <row r="354" spans="6:12" x14ac:dyDescent="0.25">
      <c r="F354">
        <v>5</v>
      </c>
      <c r="G354" s="5">
        <f t="shared" si="24"/>
        <v>0</v>
      </c>
      <c r="H354" s="285">
        <f t="shared" si="22"/>
        <v>0</v>
      </c>
      <c r="I354" s="285">
        <f t="shared" si="23"/>
        <v>0</v>
      </c>
      <c r="J354" s="285"/>
      <c r="K354" s="285"/>
      <c r="L354" s="285"/>
    </row>
    <row r="355" spans="6:12" x14ac:dyDescent="0.25">
      <c r="F355">
        <v>6</v>
      </c>
      <c r="G355" s="5">
        <f t="shared" si="24"/>
        <v>0</v>
      </c>
      <c r="H355" s="285">
        <f t="shared" si="22"/>
        <v>0</v>
      </c>
      <c r="I355" s="285">
        <f t="shared" si="23"/>
        <v>0</v>
      </c>
      <c r="J355" s="285"/>
      <c r="K355" s="285"/>
      <c r="L355" s="285"/>
    </row>
    <row r="356" spans="6:12" x14ac:dyDescent="0.25">
      <c r="F356">
        <v>7</v>
      </c>
      <c r="G356" s="5">
        <f t="shared" si="24"/>
        <v>0</v>
      </c>
      <c r="H356" s="285">
        <f t="shared" si="22"/>
        <v>0</v>
      </c>
      <c r="I356" s="285">
        <f t="shared" si="23"/>
        <v>0</v>
      </c>
      <c r="J356" s="285"/>
      <c r="K356" s="285"/>
      <c r="L356" s="285"/>
    </row>
    <row r="357" spans="6:12" x14ac:dyDescent="0.25">
      <c r="F357">
        <v>8</v>
      </c>
      <c r="G357" s="5">
        <f t="shared" si="24"/>
        <v>0</v>
      </c>
      <c r="H357" s="285">
        <f t="shared" si="22"/>
        <v>0</v>
      </c>
      <c r="I357" s="285">
        <f t="shared" si="23"/>
        <v>0</v>
      </c>
      <c r="J357" s="285"/>
      <c r="K357" s="285"/>
      <c r="L357" s="285"/>
    </row>
    <row r="358" spans="6:12" x14ac:dyDescent="0.25">
      <c r="F358">
        <v>9</v>
      </c>
      <c r="G358" s="5">
        <f t="shared" si="24"/>
        <v>0</v>
      </c>
      <c r="H358" s="285">
        <f t="shared" si="22"/>
        <v>0</v>
      </c>
      <c r="I358" s="285">
        <f t="shared" si="23"/>
        <v>0</v>
      </c>
      <c r="J358" s="285"/>
      <c r="K358" s="285"/>
      <c r="L358" s="285"/>
    </row>
    <row r="359" spans="6:12" x14ac:dyDescent="0.25">
      <c r="F359">
        <v>10</v>
      </c>
      <c r="G359" s="5">
        <f t="shared" si="24"/>
        <v>0</v>
      </c>
      <c r="H359" s="285">
        <f t="shared" si="22"/>
        <v>0</v>
      </c>
      <c r="I359" s="285">
        <f t="shared" si="23"/>
        <v>0</v>
      </c>
      <c r="J359" s="285"/>
      <c r="K359" s="285"/>
      <c r="L359" s="285"/>
    </row>
    <row r="360" spans="6:12" x14ac:dyDescent="0.25">
      <c r="F360">
        <v>11</v>
      </c>
      <c r="G360" s="5">
        <f t="shared" si="24"/>
        <v>0</v>
      </c>
      <c r="H360" s="285">
        <f t="shared" si="22"/>
        <v>0</v>
      </c>
      <c r="I360" s="285">
        <f t="shared" si="23"/>
        <v>0</v>
      </c>
      <c r="J360" s="285"/>
      <c r="K360" s="285"/>
      <c r="L360" s="285"/>
    </row>
    <row r="361" spans="6:12" x14ac:dyDescent="0.25">
      <c r="F361">
        <v>12</v>
      </c>
      <c r="G361" s="5">
        <f t="shared" si="24"/>
        <v>0</v>
      </c>
      <c r="H361" s="285">
        <f t="shared" si="22"/>
        <v>0</v>
      </c>
      <c r="I361" s="285">
        <f t="shared" si="23"/>
        <v>0</v>
      </c>
      <c r="J361" s="285">
        <f t="shared" si="21"/>
        <v>0</v>
      </c>
      <c r="K361" s="285"/>
      <c r="L361" s="285"/>
    </row>
    <row r="362" spans="6:12" x14ac:dyDescent="0.25">
      <c r="G362" s="5"/>
      <c r="H362" s="5"/>
      <c r="I362" s="5"/>
      <c r="J362" s="5"/>
      <c r="K362" s="5"/>
      <c r="L362" s="5"/>
    </row>
    <row r="363" spans="6:12" x14ac:dyDescent="0.25">
      <c r="G363" s="5"/>
      <c r="H363" s="5"/>
      <c r="I363" s="5"/>
      <c r="J363" s="5"/>
      <c r="K363" s="5"/>
      <c r="L363" s="5"/>
    </row>
    <row r="364" spans="6:12" x14ac:dyDescent="0.25">
      <c r="G364" s="5"/>
      <c r="H364" s="5"/>
      <c r="I364" s="5"/>
      <c r="J364" s="5"/>
      <c r="K364" s="5"/>
      <c r="L364" s="5"/>
    </row>
    <row r="365" spans="6:12" x14ac:dyDescent="0.25">
      <c r="G365" s="5"/>
      <c r="H365" s="5"/>
      <c r="I365" s="5"/>
      <c r="J365" s="5"/>
      <c r="K365" s="5"/>
      <c r="L365" s="5"/>
    </row>
    <row r="366" spans="6:12" x14ac:dyDescent="0.25">
      <c r="G366" s="5"/>
      <c r="H366" s="5"/>
      <c r="I366" s="5"/>
      <c r="J366" s="5"/>
      <c r="K366" s="5"/>
      <c r="L366" s="5"/>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EF0CC2-AE8A-474F-AF76-1FFD9A22C253}">
  <sheetPr codeName="Blad14"/>
  <dimension ref="A2:W53"/>
  <sheetViews>
    <sheetView topLeftCell="C1" zoomScaleNormal="100" workbookViewId="0">
      <selection activeCell="Q32" sqref="Q32"/>
    </sheetView>
  </sheetViews>
  <sheetFormatPr defaultRowHeight="15" x14ac:dyDescent="0.25"/>
  <cols>
    <col min="1" max="1" width="80.85546875" bestFit="1" customWidth="1"/>
    <col min="4" max="4" width="1.7109375" customWidth="1"/>
    <col min="5" max="7" width="8.85546875" customWidth="1"/>
    <col min="8" max="8" width="25.140625" bestFit="1" customWidth="1"/>
    <col min="9" max="9" width="16.7109375" bestFit="1" customWidth="1"/>
    <col min="10" max="10" width="9.85546875" bestFit="1" customWidth="1"/>
    <col min="11" max="11" width="14.140625" bestFit="1" customWidth="1"/>
    <col min="12" max="12" width="56.42578125" bestFit="1" customWidth="1"/>
    <col min="15" max="21" width="9.85546875" bestFit="1" customWidth="1"/>
  </cols>
  <sheetData>
    <row r="2" spans="1:23" x14ac:dyDescent="0.25">
      <c r="A2" s="2" t="s">
        <v>437</v>
      </c>
      <c r="H2" s="2" t="s">
        <v>70</v>
      </c>
      <c r="I2" s="2" t="s">
        <v>438</v>
      </c>
      <c r="J2" s="2" t="s">
        <v>439</v>
      </c>
      <c r="K2" s="2" t="s">
        <v>72</v>
      </c>
      <c r="L2" s="2" t="s">
        <v>440</v>
      </c>
      <c r="N2" s="2" t="s">
        <v>441</v>
      </c>
    </row>
    <row r="3" spans="1:23" x14ac:dyDescent="0.25">
      <c r="A3" t="s">
        <v>116</v>
      </c>
      <c r="G3" s="541" t="e">
        <f>(I3-J3)/J3</f>
        <v>#DIV/0!</v>
      </c>
      <c r="H3" t="s">
        <v>76</v>
      </c>
      <c r="I3" s="3" t="e">
        <f>VLOOKUP(H3,Voer!B5:C13,2,0)</f>
        <v>#DIV/0!</v>
      </c>
      <c r="J3" s="453">
        <v>10200</v>
      </c>
      <c r="K3">
        <v>910</v>
      </c>
      <c r="L3" s="321" t="s">
        <v>442</v>
      </c>
      <c r="N3" t="s">
        <v>443</v>
      </c>
      <c r="O3">
        <v>3.03</v>
      </c>
      <c r="P3">
        <v>3.18</v>
      </c>
      <c r="Q3">
        <v>3.32</v>
      </c>
      <c r="R3">
        <v>3.45</v>
      </c>
      <c r="S3">
        <v>3.6</v>
      </c>
      <c r="T3">
        <v>3.75</v>
      </c>
      <c r="U3">
        <v>3.88</v>
      </c>
    </row>
    <row r="4" spans="1:23" x14ac:dyDescent="0.25">
      <c r="A4" t="s">
        <v>117</v>
      </c>
      <c r="H4" t="s">
        <v>463</v>
      </c>
      <c r="I4" s="7" t="e">
        <f>(1+$G$3)*J4</f>
        <v>#DIV/0!</v>
      </c>
      <c r="J4" s="453">
        <v>10000</v>
      </c>
      <c r="K4">
        <v>943</v>
      </c>
      <c r="L4" t="s">
        <v>485</v>
      </c>
      <c r="M4" t="s">
        <v>444</v>
      </c>
      <c r="N4" t="s">
        <v>445</v>
      </c>
      <c r="O4">
        <v>3.5</v>
      </c>
      <c r="P4">
        <v>3.75</v>
      </c>
      <c r="Q4">
        <v>4</v>
      </c>
      <c r="R4">
        <v>4.25</v>
      </c>
      <c r="S4">
        <v>4.5</v>
      </c>
      <c r="T4">
        <v>4.75</v>
      </c>
      <c r="U4">
        <v>5</v>
      </c>
    </row>
    <row r="5" spans="1:23" x14ac:dyDescent="0.25">
      <c r="A5" t="s">
        <v>118</v>
      </c>
      <c r="H5" t="s">
        <v>88</v>
      </c>
      <c r="I5" s="7" t="e">
        <f>(1+$G$3)*J5</f>
        <v>#DIV/0!</v>
      </c>
      <c r="J5" s="453">
        <v>8500</v>
      </c>
      <c r="K5">
        <v>850</v>
      </c>
      <c r="L5" t="s">
        <v>483</v>
      </c>
      <c r="M5">
        <v>16</v>
      </c>
      <c r="N5">
        <f t="shared" ref="N5:N22" si="0">M5*305</f>
        <v>4880</v>
      </c>
      <c r="O5" s="3">
        <v>11990</v>
      </c>
      <c r="P5" s="3">
        <v>12280</v>
      </c>
      <c r="Q5" s="3">
        <v>12550</v>
      </c>
      <c r="R5" s="3">
        <v>12830</v>
      </c>
      <c r="S5" s="3">
        <v>13110</v>
      </c>
      <c r="T5" s="3">
        <v>13390</v>
      </c>
      <c r="U5" s="3">
        <v>13670</v>
      </c>
      <c r="W5" s="7"/>
    </row>
    <row r="6" spans="1:23" x14ac:dyDescent="0.25">
      <c r="A6" t="s">
        <v>119</v>
      </c>
      <c r="H6" t="s">
        <v>464</v>
      </c>
      <c r="I6" s="7">
        <v>5500</v>
      </c>
      <c r="J6" s="453">
        <v>5500</v>
      </c>
      <c r="K6">
        <v>700</v>
      </c>
      <c r="L6" t="s">
        <v>485</v>
      </c>
      <c r="M6">
        <v>18</v>
      </c>
      <c r="N6">
        <f t="shared" si="0"/>
        <v>5490</v>
      </c>
      <c r="O6" s="3">
        <v>12850</v>
      </c>
      <c r="P6" s="3">
        <v>13170</v>
      </c>
      <c r="Q6" s="3">
        <v>13480</v>
      </c>
      <c r="R6" s="3">
        <v>13790</v>
      </c>
      <c r="S6" s="3">
        <v>14110</v>
      </c>
      <c r="T6" s="3">
        <v>14430</v>
      </c>
      <c r="U6" s="3">
        <v>14740</v>
      </c>
      <c r="W6" s="7"/>
    </row>
    <row r="7" spans="1:23" x14ac:dyDescent="0.25">
      <c r="H7" t="s">
        <v>462</v>
      </c>
      <c r="I7" s="453">
        <v>3500</v>
      </c>
      <c r="J7" s="453">
        <v>3500</v>
      </c>
      <c r="K7">
        <v>550</v>
      </c>
      <c r="L7" t="s">
        <v>484</v>
      </c>
      <c r="M7">
        <v>20</v>
      </c>
      <c r="N7">
        <f t="shared" si="0"/>
        <v>6100</v>
      </c>
      <c r="O7" s="3">
        <v>13710</v>
      </c>
      <c r="P7" s="3">
        <v>14070</v>
      </c>
      <c r="Q7" s="3">
        <v>14420</v>
      </c>
      <c r="R7" s="3">
        <v>14760</v>
      </c>
      <c r="S7" s="3">
        <v>15120</v>
      </c>
      <c r="T7" s="3">
        <v>15480</v>
      </c>
      <c r="U7" s="3">
        <v>15830</v>
      </c>
      <c r="W7" s="7"/>
    </row>
    <row r="8" spans="1:23" x14ac:dyDescent="0.25">
      <c r="H8" t="s">
        <v>86</v>
      </c>
      <c r="I8" s="7" t="e">
        <f>(1+$G$3)*J8</f>
        <v>#DIV/0!</v>
      </c>
      <c r="J8" s="453">
        <v>12500</v>
      </c>
      <c r="K8">
        <v>852</v>
      </c>
      <c r="L8" s="321" t="s">
        <v>442</v>
      </c>
      <c r="M8">
        <v>22</v>
      </c>
      <c r="N8">
        <f t="shared" si="0"/>
        <v>6710</v>
      </c>
      <c r="O8" s="3">
        <v>14580</v>
      </c>
      <c r="P8" s="3">
        <v>14970</v>
      </c>
      <c r="Q8" s="3">
        <v>15360</v>
      </c>
      <c r="R8" s="3">
        <v>15740</v>
      </c>
      <c r="S8" s="3">
        <v>16140</v>
      </c>
      <c r="T8" s="3">
        <v>16540</v>
      </c>
      <c r="U8" s="3">
        <v>16920</v>
      </c>
      <c r="W8" s="7"/>
    </row>
    <row r="9" spans="1:23" x14ac:dyDescent="0.25">
      <c r="H9" t="s">
        <v>91</v>
      </c>
      <c r="I9" s="7" t="e">
        <f>(1+$G$3)*J9</f>
        <v>#DIV/0!</v>
      </c>
      <c r="J9" s="453">
        <v>13000</v>
      </c>
      <c r="K9">
        <v>678</v>
      </c>
      <c r="L9" t="s">
        <v>446</v>
      </c>
      <c r="M9">
        <v>24</v>
      </c>
      <c r="N9">
        <f t="shared" si="0"/>
        <v>7320</v>
      </c>
      <c r="O9" s="3">
        <v>15450</v>
      </c>
      <c r="P9" s="3">
        <v>15880</v>
      </c>
      <c r="Q9" s="3">
        <v>16310</v>
      </c>
      <c r="R9" s="3">
        <v>16730</v>
      </c>
      <c r="S9" s="3">
        <v>17160</v>
      </c>
      <c r="T9" s="3">
        <v>17600</v>
      </c>
      <c r="U9" s="3">
        <v>18020</v>
      </c>
      <c r="W9" s="7"/>
    </row>
    <row r="10" spans="1:23" x14ac:dyDescent="0.25">
      <c r="H10" t="s">
        <v>92</v>
      </c>
      <c r="I10" s="453">
        <v>7000</v>
      </c>
      <c r="J10" s="453">
        <v>7000</v>
      </c>
      <c r="K10">
        <v>1125</v>
      </c>
      <c r="L10" t="s">
        <v>447</v>
      </c>
      <c r="M10">
        <v>26</v>
      </c>
      <c r="N10">
        <f t="shared" si="0"/>
        <v>7930</v>
      </c>
      <c r="O10" s="3">
        <v>16330</v>
      </c>
      <c r="P10" s="3">
        <v>16800</v>
      </c>
      <c r="Q10" s="3">
        <v>17260</v>
      </c>
      <c r="R10" s="3">
        <v>17720</v>
      </c>
      <c r="S10" s="3">
        <v>18190</v>
      </c>
      <c r="T10" s="3">
        <v>18670</v>
      </c>
      <c r="U10" s="3">
        <v>19130</v>
      </c>
      <c r="W10" s="7"/>
    </row>
    <row r="11" spans="1:23" x14ac:dyDescent="0.25">
      <c r="H11" t="s">
        <v>75</v>
      </c>
      <c r="I11" s="7" t="e">
        <f>VLOOKUP(H11,Voer!B5:C13,2,0)</f>
        <v>#DIV/0!</v>
      </c>
      <c r="J11" s="3">
        <v>17000</v>
      </c>
      <c r="K11">
        <v>980</v>
      </c>
      <c r="L11" t="s">
        <v>448</v>
      </c>
      <c r="M11">
        <v>28</v>
      </c>
      <c r="N11">
        <f t="shared" si="0"/>
        <v>8540</v>
      </c>
      <c r="O11" s="3">
        <v>17210</v>
      </c>
      <c r="P11" s="3">
        <v>17720</v>
      </c>
      <c r="Q11" s="3">
        <v>18220</v>
      </c>
      <c r="R11" s="3">
        <v>18720</v>
      </c>
      <c r="S11" s="3">
        <v>19230</v>
      </c>
      <c r="T11" s="3">
        <v>19750</v>
      </c>
      <c r="U11" s="3">
        <v>20250</v>
      </c>
      <c r="W11" s="7"/>
    </row>
    <row r="12" spans="1:23" x14ac:dyDescent="0.25">
      <c r="H12" t="s">
        <v>94</v>
      </c>
      <c r="I12" s="3">
        <v>8875</v>
      </c>
      <c r="J12" s="3">
        <v>8875</v>
      </c>
      <c r="K12">
        <v>1210</v>
      </c>
      <c r="L12" t="s">
        <v>448</v>
      </c>
      <c r="M12">
        <v>30</v>
      </c>
      <c r="N12">
        <f t="shared" si="0"/>
        <v>9150</v>
      </c>
      <c r="O12" s="3">
        <v>18090</v>
      </c>
      <c r="P12" s="3">
        <v>18640</v>
      </c>
      <c r="Q12" s="3">
        <v>19180</v>
      </c>
      <c r="R12" s="3">
        <v>19720</v>
      </c>
      <c r="S12" s="3">
        <v>20270</v>
      </c>
      <c r="T12" s="3">
        <v>20830</v>
      </c>
      <c r="U12" s="3">
        <v>21370</v>
      </c>
      <c r="W12" s="7"/>
    </row>
    <row r="13" spans="1:23" x14ac:dyDescent="0.25">
      <c r="H13" t="s">
        <v>77</v>
      </c>
      <c r="I13" s="3">
        <v>19000</v>
      </c>
      <c r="J13" s="3">
        <v>19000</v>
      </c>
      <c r="K13">
        <v>1150</v>
      </c>
      <c r="L13" t="s">
        <v>449</v>
      </c>
      <c r="M13">
        <v>32</v>
      </c>
      <c r="N13">
        <f t="shared" si="0"/>
        <v>9760</v>
      </c>
      <c r="O13" s="3">
        <v>18980</v>
      </c>
      <c r="P13" s="3">
        <v>19570</v>
      </c>
      <c r="Q13" s="3">
        <v>20160</v>
      </c>
      <c r="R13" s="3">
        <v>20730</v>
      </c>
      <c r="S13" s="3">
        <v>21320</v>
      </c>
      <c r="T13" s="3">
        <v>21920</v>
      </c>
      <c r="U13" s="3">
        <v>22500</v>
      </c>
      <c r="W13" s="7"/>
    </row>
    <row r="14" spans="1:23" x14ac:dyDescent="0.25">
      <c r="H14" t="s">
        <v>98</v>
      </c>
      <c r="I14" s="3">
        <v>7225</v>
      </c>
      <c r="J14" s="3">
        <v>7225</v>
      </c>
      <c r="K14">
        <v>1175</v>
      </c>
      <c r="L14" t="s">
        <v>448</v>
      </c>
      <c r="M14">
        <v>34</v>
      </c>
      <c r="N14">
        <f t="shared" si="0"/>
        <v>10370</v>
      </c>
      <c r="O14" s="3">
        <v>19880</v>
      </c>
      <c r="P14" s="3">
        <v>20510</v>
      </c>
      <c r="Q14" s="3">
        <v>21130</v>
      </c>
      <c r="R14" s="3">
        <v>21750</v>
      </c>
      <c r="S14" s="3">
        <v>22380</v>
      </c>
      <c r="T14" s="3">
        <v>23020</v>
      </c>
      <c r="U14" s="3">
        <v>23640</v>
      </c>
      <c r="W14" s="7"/>
    </row>
    <row r="15" spans="1:23" x14ac:dyDescent="0.25">
      <c r="A15" t="s">
        <v>201</v>
      </c>
      <c r="H15" t="s">
        <v>90</v>
      </c>
      <c r="M15">
        <v>36</v>
      </c>
      <c r="N15">
        <f t="shared" si="0"/>
        <v>10980</v>
      </c>
      <c r="O15" s="3">
        <v>20780</v>
      </c>
      <c r="P15" s="3">
        <v>21450</v>
      </c>
      <c r="Q15" s="3">
        <v>22110</v>
      </c>
      <c r="R15" s="3">
        <v>22770</v>
      </c>
      <c r="S15" s="3">
        <v>23450</v>
      </c>
      <c r="T15" s="3">
        <v>24130</v>
      </c>
      <c r="U15" s="3"/>
      <c r="W15" s="7"/>
    </row>
    <row r="16" spans="1:23" x14ac:dyDescent="0.25">
      <c r="A16" t="s">
        <v>164</v>
      </c>
      <c r="M16">
        <v>38</v>
      </c>
      <c r="N16">
        <f t="shared" si="0"/>
        <v>11590</v>
      </c>
      <c r="O16" s="3">
        <v>21690</v>
      </c>
      <c r="P16" s="3">
        <v>22400</v>
      </c>
      <c r="Q16" s="3">
        <v>23100</v>
      </c>
      <c r="R16" s="3">
        <v>23800</v>
      </c>
      <c r="S16" s="3">
        <v>24500</v>
      </c>
      <c r="T16" s="3">
        <v>25240</v>
      </c>
      <c r="U16" s="3"/>
      <c r="W16" s="7"/>
    </row>
    <row r="17" spans="1:23" x14ac:dyDescent="0.25">
      <c r="M17">
        <v>40</v>
      </c>
      <c r="N17">
        <f t="shared" si="0"/>
        <v>12200</v>
      </c>
      <c r="O17" s="3">
        <v>22600</v>
      </c>
      <c r="P17" s="3">
        <v>23350</v>
      </c>
      <c r="Q17" s="3">
        <v>24100</v>
      </c>
      <c r="R17" s="3">
        <v>24830</v>
      </c>
      <c r="S17" s="3">
        <v>25590</v>
      </c>
      <c r="T17" s="3"/>
      <c r="U17" s="3"/>
      <c r="W17" s="7"/>
    </row>
    <row r="18" spans="1:23" x14ac:dyDescent="0.25">
      <c r="M18">
        <v>42</v>
      </c>
      <c r="N18">
        <f t="shared" si="0"/>
        <v>12810</v>
      </c>
      <c r="O18" s="3">
        <v>23520</v>
      </c>
      <c r="P18" s="3">
        <v>24310</v>
      </c>
      <c r="Q18" s="3">
        <v>25100</v>
      </c>
      <c r="R18" s="3">
        <v>25870</v>
      </c>
      <c r="S18" s="3">
        <v>26680</v>
      </c>
      <c r="T18" s="3"/>
      <c r="U18" s="3"/>
      <c r="W18" s="7"/>
    </row>
    <row r="19" spans="1:23" x14ac:dyDescent="0.25">
      <c r="A19" t="s">
        <v>24</v>
      </c>
      <c r="M19">
        <v>44</v>
      </c>
      <c r="N19">
        <f t="shared" si="0"/>
        <v>13420</v>
      </c>
      <c r="O19" s="3">
        <v>24440</v>
      </c>
      <c r="P19" s="3">
        <v>25270</v>
      </c>
      <c r="Q19" s="3">
        <v>26100</v>
      </c>
      <c r="R19" s="3">
        <v>26920</v>
      </c>
      <c r="S19" s="3"/>
      <c r="T19" s="3"/>
      <c r="U19" s="3"/>
      <c r="W19" s="7"/>
    </row>
    <row r="20" spans="1:23" x14ac:dyDescent="0.25">
      <c r="A20" t="s">
        <v>143</v>
      </c>
      <c r="M20">
        <v>46</v>
      </c>
      <c r="N20">
        <f t="shared" si="0"/>
        <v>14030</v>
      </c>
      <c r="O20" s="3">
        <v>25360</v>
      </c>
      <c r="P20" s="3">
        <v>26240</v>
      </c>
      <c r="Q20" s="3">
        <v>27110</v>
      </c>
      <c r="R20" s="3">
        <v>27970</v>
      </c>
      <c r="S20" s="3"/>
      <c r="T20" s="3"/>
      <c r="U20" s="3"/>
      <c r="W20" s="7"/>
    </row>
    <row r="21" spans="1:23" x14ac:dyDescent="0.25">
      <c r="A21" t="s">
        <v>450</v>
      </c>
      <c r="M21">
        <v>48</v>
      </c>
      <c r="N21">
        <f t="shared" si="0"/>
        <v>14640</v>
      </c>
      <c r="O21" s="3">
        <v>26290</v>
      </c>
      <c r="P21" s="3">
        <v>27220</v>
      </c>
      <c r="Q21" s="3">
        <v>28130</v>
      </c>
      <c r="R21" s="3"/>
      <c r="S21" s="3"/>
      <c r="T21" s="3"/>
      <c r="U21" s="3"/>
      <c r="W21" s="7"/>
    </row>
    <row r="22" spans="1:23" x14ac:dyDescent="0.25">
      <c r="A22" t="s">
        <v>141</v>
      </c>
      <c r="M22">
        <v>50</v>
      </c>
      <c r="N22">
        <f t="shared" si="0"/>
        <v>15250</v>
      </c>
      <c r="O22" s="3">
        <v>25230</v>
      </c>
      <c r="P22" s="3">
        <v>28200</v>
      </c>
      <c r="Q22" s="3">
        <v>29150</v>
      </c>
      <c r="R22" s="3"/>
      <c r="S22" s="3"/>
      <c r="T22" s="3"/>
      <c r="U22" s="3"/>
      <c r="W22" s="7"/>
    </row>
    <row r="23" spans="1:23" x14ac:dyDescent="0.25">
      <c r="A23" t="s">
        <v>145</v>
      </c>
    </row>
    <row r="26" spans="1:23" x14ac:dyDescent="0.25">
      <c r="A26" t="s">
        <v>169</v>
      </c>
      <c r="B26">
        <v>405</v>
      </c>
      <c r="C26" t="s">
        <v>448</v>
      </c>
    </row>
    <row r="27" spans="1:23" x14ac:dyDescent="0.25">
      <c r="A27" t="s">
        <v>451</v>
      </c>
      <c r="B27">
        <v>450</v>
      </c>
      <c r="C27" t="s">
        <v>448</v>
      </c>
    </row>
    <row r="28" spans="1:23" x14ac:dyDescent="0.25">
      <c r="A28" t="s">
        <v>452</v>
      </c>
      <c r="B28">
        <v>601</v>
      </c>
      <c r="C28" t="s">
        <v>448</v>
      </c>
    </row>
    <row r="29" spans="1:23" x14ac:dyDescent="0.25">
      <c r="A29" t="s">
        <v>453</v>
      </c>
      <c r="B29">
        <v>352</v>
      </c>
      <c r="C29" t="s">
        <v>448</v>
      </c>
    </row>
    <row r="31" spans="1:23" x14ac:dyDescent="0.25">
      <c r="A31" t="s">
        <v>454</v>
      </c>
      <c r="B31" t="s">
        <v>455</v>
      </c>
    </row>
    <row r="32" spans="1:23" x14ac:dyDescent="0.25">
      <c r="A32">
        <v>5624</v>
      </c>
      <c r="B32" s="469">
        <v>32.4</v>
      </c>
    </row>
    <row r="33" spans="1:2" x14ac:dyDescent="0.25">
      <c r="A33">
        <v>5874</v>
      </c>
      <c r="B33" s="469">
        <v>34</v>
      </c>
    </row>
    <row r="34" spans="1:2" x14ac:dyDescent="0.25">
      <c r="A34">
        <v>6124</v>
      </c>
      <c r="B34" s="469">
        <v>34.799999999999997</v>
      </c>
    </row>
    <row r="35" spans="1:2" x14ac:dyDescent="0.25">
      <c r="A35">
        <v>6374</v>
      </c>
      <c r="B35" s="469">
        <v>35.5</v>
      </c>
    </row>
    <row r="36" spans="1:2" x14ac:dyDescent="0.25">
      <c r="A36">
        <v>6624</v>
      </c>
      <c r="B36" s="469">
        <v>36.200000000000003</v>
      </c>
    </row>
    <row r="37" spans="1:2" x14ac:dyDescent="0.25">
      <c r="A37">
        <v>6874</v>
      </c>
      <c r="B37" s="469">
        <v>36.9</v>
      </c>
    </row>
    <row r="38" spans="1:2" x14ac:dyDescent="0.25">
      <c r="A38">
        <v>7124</v>
      </c>
      <c r="B38" s="469">
        <v>37.700000000000003</v>
      </c>
    </row>
    <row r="39" spans="1:2" x14ac:dyDescent="0.25">
      <c r="A39">
        <v>7374</v>
      </c>
      <c r="B39" s="469">
        <v>38.4</v>
      </c>
    </row>
    <row r="40" spans="1:2" x14ac:dyDescent="0.25">
      <c r="A40">
        <v>7624</v>
      </c>
      <c r="B40" s="469">
        <v>39.1</v>
      </c>
    </row>
    <row r="41" spans="1:2" x14ac:dyDescent="0.25">
      <c r="A41">
        <v>7874</v>
      </c>
      <c r="B41" s="469">
        <v>39.799999999999997</v>
      </c>
    </row>
    <row r="42" spans="1:2" x14ac:dyDescent="0.25">
      <c r="A42">
        <v>8124</v>
      </c>
      <c r="B42" s="469">
        <v>40.6</v>
      </c>
    </row>
    <row r="43" spans="1:2" x14ac:dyDescent="0.25">
      <c r="A43">
        <v>8374</v>
      </c>
      <c r="B43" s="469">
        <v>41.3</v>
      </c>
    </row>
    <row r="44" spans="1:2" x14ac:dyDescent="0.25">
      <c r="A44">
        <v>8624</v>
      </c>
      <c r="B44" s="469">
        <v>42</v>
      </c>
    </row>
    <row r="45" spans="1:2" x14ac:dyDescent="0.25">
      <c r="A45">
        <v>8874</v>
      </c>
      <c r="B45" s="469">
        <v>42.7</v>
      </c>
    </row>
    <row r="46" spans="1:2" x14ac:dyDescent="0.25">
      <c r="A46">
        <v>9124</v>
      </c>
      <c r="B46" s="469">
        <v>43.5</v>
      </c>
    </row>
    <row r="47" spans="1:2" x14ac:dyDescent="0.25">
      <c r="A47">
        <v>9374</v>
      </c>
      <c r="B47" s="469">
        <v>44.2</v>
      </c>
    </row>
    <row r="48" spans="1:2" x14ac:dyDescent="0.25">
      <c r="A48">
        <v>9624</v>
      </c>
      <c r="B48" s="469">
        <v>44.9</v>
      </c>
    </row>
    <row r="49" spans="1:2" x14ac:dyDescent="0.25">
      <c r="A49">
        <v>9874</v>
      </c>
      <c r="B49" s="469">
        <v>45.6</v>
      </c>
    </row>
    <row r="50" spans="1:2" x14ac:dyDescent="0.25">
      <c r="A50">
        <v>10124</v>
      </c>
      <c r="B50" s="469">
        <v>46.4</v>
      </c>
    </row>
    <row r="51" spans="1:2" x14ac:dyDescent="0.25">
      <c r="A51">
        <v>10374</v>
      </c>
      <c r="B51" s="469">
        <v>47.1</v>
      </c>
    </row>
    <row r="52" spans="1:2" x14ac:dyDescent="0.25">
      <c r="A52">
        <v>10624</v>
      </c>
      <c r="B52" s="469">
        <v>47.8</v>
      </c>
    </row>
    <row r="53" spans="1:2" x14ac:dyDescent="0.25">
      <c r="A53">
        <v>10624</v>
      </c>
      <c r="B53" s="469">
        <v>49.3</v>
      </c>
    </row>
  </sheetData>
  <sheetProtection algorithmName="SHA-512" hashValue="I1/nV86p1zJLup5zzx1qHOQEJ9hFmJSfTReiFlI5dhMmX3HjYkQmb/j/UKgNnSRYlwsSeu3EWkfg9qEV1xgc9w==" saltValue="04k95vFTlbXaFsNVr9EYkQ==" spinCount="100000" sheet="1" objects="1" scenarios="1" formatCells="0"/>
  <hyperlinks>
    <hyperlink ref="L8" r:id="rId1" display="https://www.agrifirm.nl/nieuws/grasklaver-18-meer-opbrengst-dan-gras/" xr:uid="{C4E5FB58-E58B-40AA-992F-FE7245AF1249}"/>
    <hyperlink ref="L3" r:id="rId2" display="https://www.agrifirm.nl/nieuws/grasklaver-18-meer-opbrengst-dan-gras/" xr:uid="{9BB7CB91-904C-4F6C-A781-571BFAE865E1}"/>
  </hyperlinks>
  <pageMargins left="0.7" right="0.7" top="0.75" bottom="0.75" header="0.3" footer="0.3"/>
  <pageSetup paperSize="9" orientation="portrait" horizontalDpi="4294967295" verticalDpi="4294967295"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763B-233C-4FC3-B4B2-356C58448168}">
  <sheetPr codeName="Blad1">
    <tabColor theme="4" tint="0.59999389629810485"/>
  </sheetPr>
  <dimension ref="A1:F32"/>
  <sheetViews>
    <sheetView zoomScale="80" zoomScaleNormal="80" workbookViewId="0">
      <selection activeCell="B8" sqref="B8"/>
    </sheetView>
  </sheetViews>
  <sheetFormatPr defaultRowHeight="15" x14ac:dyDescent="0.25"/>
  <cols>
    <col min="1" max="1" width="36" bestFit="1" customWidth="1"/>
    <col min="2" max="2" width="17.28515625" customWidth="1"/>
    <col min="3" max="3" width="9.5703125" bestFit="1" customWidth="1"/>
    <col min="4" max="4" width="12.7109375" bestFit="1" customWidth="1"/>
    <col min="5" max="5" width="7" bestFit="1" customWidth="1"/>
    <col min="6" max="6" width="8.28515625" customWidth="1"/>
  </cols>
  <sheetData>
    <row r="1" spans="1:5" x14ac:dyDescent="0.25">
      <c r="A1" s="596" t="s">
        <v>0</v>
      </c>
      <c r="B1" s="596"/>
      <c r="C1" s="596"/>
      <c r="D1" s="596"/>
      <c r="E1" s="596"/>
    </row>
    <row r="2" spans="1:5" x14ac:dyDescent="0.25">
      <c r="A2" s="153" t="s">
        <v>1</v>
      </c>
      <c r="B2" s="587"/>
      <c r="C2" s="588"/>
      <c r="D2" s="588"/>
      <c r="E2" s="589"/>
    </row>
    <row r="3" spans="1:5" x14ac:dyDescent="0.25">
      <c r="A3" s="80" t="s">
        <v>2</v>
      </c>
      <c r="B3" s="590"/>
      <c r="C3" s="591"/>
      <c r="D3" s="591"/>
      <c r="E3" s="592"/>
    </row>
    <row r="4" spans="1:5" x14ac:dyDescent="0.25">
      <c r="A4" s="81" t="s">
        <v>3</v>
      </c>
      <c r="B4" s="593"/>
      <c r="C4" s="594"/>
      <c r="D4" s="594"/>
      <c r="E4" s="595"/>
    </row>
    <row r="6" spans="1:5" x14ac:dyDescent="0.25">
      <c r="A6" s="153" t="s">
        <v>4</v>
      </c>
      <c r="B6" s="82" t="s">
        <v>5</v>
      </c>
      <c r="C6" s="132" t="s">
        <v>6</v>
      </c>
      <c r="D6" s="82" t="s">
        <v>7</v>
      </c>
      <c r="E6" s="154" t="s">
        <v>8</v>
      </c>
    </row>
    <row r="7" spans="1:5" x14ac:dyDescent="0.25">
      <c r="A7" s="162" t="s">
        <v>9</v>
      </c>
      <c r="B7" s="564">
        <v>0</v>
      </c>
      <c r="C7" s="155">
        <v>100</v>
      </c>
      <c r="D7" s="109">
        <v>1</v>
      </c>
      <c r="E7" s="163">
        <f>B7*D7</f>
        <v>0</v>
      </c>
    </row>
    <row r="8" spans="1:5" x14ac:dyDescent="0.25">
      <c r="A8" s="64" t="s">
        <v>10</v>
      </c>
      <c r="B8" s="562">
        <v>0</v>
      </c>
      <c r="C8" s="156">
        <v>101</v>
      </c>
      <c r="D8" s="170">
        <v>0.23</v>
      </c>
      <c r="E8" s="112">
        <f>B8*D8</f>
        <v>0</v>
      </c>
    </row>
    <row r="9" spans="1:5" x14ac:dyDescent="0.25">
      <c r="A9" s="64" t="s">
        <v>11</v>
      </c>
      <c r="B9" s="562">
        <v>0</v>
      </c>
      <c r="C9" s="156">
        <v>102</v>
      </c>
      <c r="D9" s="170">
        <v>0.53</v>
      </c>
      <c r="E9" s="112">
        <f>B9*D9</f>
        <v>0</v>
      </c>
    </row>
    <row r="10" spans="1:5" x14ac:dyDescent="0.25">
      <c r="A10" s="165" t="s">
        <v>12</v>
      </c>
      <c r="B10" s="563"/>
      <c r="C10" s="1">
        <v>120</v>
      </c>
      <c r="D10" s="27">
        <v>1</v>
      </c>
      <c r="E10" s="117">
        <f>B10*D10</f>
        <v>0</v>
      </c>
    </row>
    <row r="11" spans="1:5" x14ac:dyDescent="0.25">
      <c r="A11" s="168" t="s">
        <v>8</v>
      </c>
      <c r="B11" s="565"/>
      <c r="C11" s="166"/>
      <c r="D11" s="182"/>
      <c r="E11" s="167">
        <f>SUM(E7:E10)</f>
        <v>0</v>
      </c>
    </row>
    <row r="13" spans="1:5" x14ac:dyDescent="0.25">
      <c r="A13" s="82" t="s">
        <v>13</v>
      </c>
      <c r="B13" s="70"/>
    </row>
    <row r="14" spans="1:5" x14ac:dyDescent="0.25">
      <c r="A14" s="162" t="s">
        <v>14</v>
      </c>
      <c r="B14" s="561">
        <v>0</v>
      </c>
      <c r="C14" t="s">
        <v>15</v>
      </c>
    </row>
    <row r="15" spans="1:5" x14ac:dyDescent="0.25">
      <c r="A15" s="64" t="s">
        <v>16</v>
      </c>
      <c r="B15" s="562">
        <v>4.5</v>
      </c>
    </row>
    <row r="16" spans="1:5" x14ac:dyDescent="0.25">
      <c r="A16" s="64" t="s">
        <v>17</v>
      </c>
      <c r="B16" s="563">
        <v>3.6</v>
      </c>
    </row>
    <row r="17" spans="1:6" x14ac:dyDescent="0.25">
      <c r="A17" s="164" t="s">
        <v>18</v>
      </c>
      <c r="B17" s="400">
        <f>B7*B14</f>
        <v>0</v>
      </c>
      <c r="C17" s="7"/>
    </row>
    <row r="19" spans="1:6" x14ac:dyDescent="0.25">
      <c r="A19" s="100" t="s">
        <v>457</v>
      </c>
      <c r="B19" s="70"/>
    </row>
    <row r="20" spans="1:6" x14ac:dyDescent="0.25">
      <c r="A20" s="64" t="s">
        <v>19</v>
      </c>
      <c r="B20" s="564">
        <v>0</v>
      </c>
    </row>
    <row r="21" spans="1:6" x14ac:dyDescent="0.25">
      <c r="A21" s="64" t="s">
        <v>20</v>
      </c>
      <c r="B21" s="562">
        <v>0</v>
      </c>
      <c r="F21" s="156"/>
    </row>
    <row r="22" spans="1:6" x14ac:dyDescent="0.25">
      <c r="A22" s="64" t="s">
        <v>21</v>
      </c>
      <c r="B22" s="563"/>
      <c r="F22" s="156"/>
    </row>
    <row r="23" spans="1:6" x14ac:dyDescent="0.25">
      <c r="A23" s="101" t="s">
        <v>8</v>
      </c>
      <c r="B23" s="27">
        <f>SUM(B20:B22)</f>
        <v>0</v>
      </c>
    </row>
    <row r="24" spans="1:6" x14ac:dyDescent="0.25">
      <c r="A24" s="2"/>
    </row>
    <row r="31" spans="1:6" hidden="1" x14ac:dyDescent="0.25">
      <c r="A31" t="s">
        <v>22</v>
      </c>
      <c r="B31" t="s">
        <v>23</v>
      </c>
    </row>
    <row r="32" spans="1:6" hidden="1" x14ac:dyDescent="0.25">
      <c r="A32" t="s">
        <v>24</v>
      </c>
      <c r="B32">
        <v>700</v>
      </c>
    </row>
  </sheetData>
  <mergeCells count="4">
    <mergeCell ref="B2:E2"/>
    <mergeCell ref="B3:E3"/>
    <mergeCell ref="B4:E4"/>
    <mergeCell ref="A1:E1"/>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3">
        <x14:dataValidation type="list" allowBlank="1" showInputMessage="1" showErrorMessage="1" xr:uid="{86B7E7B8-3368-4F7C-9816-7E3B8723BA66}">
          <x14:formula1>
            <xm:f>Selectievakken!$O$4:$U$4</xm:f>
          </x14:formula1>
          <xm:sqref>B15</xm:sqref>
        </x14:dataValidation>
        <x14:dataValidation type="list" allowBlank="1" showInputMessage="1" showErrorMessage="1" xr:uid="{2857C354-1541-4EFB-8D16-EAF7CB0B4187}">
          <x14:formula1>
            <xm:f>Selectievakken!$O$3:$U$3</xm:f>
          </x14:formula1>
          <xm:sqref>B16</xm:sqref>
        </x14:dataValidation>
        <x14:dataValidation type="list" allowBlank="1" showInputMessage="1" showErrorMessage="1" xr:uid="{AF91C53F-5057-4171-B328-7B631BEDB7EE}">
          <x14:formula1>
            <xm:f>Selectievakken!$A$19:$A$23</xm:f>
          </x14:formula1>
          <xm:sqref>A32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88C56-E272-4E75-AFC9-C512ED9EE5E5}">
  <sheetPr codeName="Blad2">
    <tabColor theme="4" tint="0.59999389629810485"/>
  </sheetPr>
  <dimension ref="A2:I49"/>
  <sheetViews>
    <sheetView zoomScale="85" zoomScaleNormal="85" workbookViewId="0">
      <selection activeCell="R44" sqref="R44"/>
    </sheetView>
  </sheetViews>
  <sheetFormatPr defaultRowHeight="15" x14ac:dyDescent="0.25"/>
  <cols>
    <col min="1" max="1" width="39.42578125" bestFit="1" customWidth="1"/>
    <col min="2" max="2" width="12.85546875" bestFit="1" customWidth="1"/>
    <col min="3" max="3" width="12.85546875" style="6" bestFit="1" customWidth="1"/>
    <col min="4" max="5" width="12.85546875" bestFit="1" customWidth="1"/>
    <col min="7" max="7" width="16.28515625" style="5" bestFit="1" customWidth="1"/>
    <col min="8" max="9" width="10.7109375" style="5" bestFit="1" customWidth="1"/>
  </cols>
  <sheetData>
    <row r="2" spans="1:9" x14ac:dyDescent="0.25">
      <c r="A2" s="104"/>
      <c r="B2" s="82">
        <v>2019</v>
      </c>
      <c r="C2" s="69"/>
      <c r="D2" s="82">
        <v>2018</v>
      </c>
      <c r="E2" s="105"/>
      <c r="G2" s="597">
        <v>2019</v>
      </c>
      <c r="H2" s="597"/>
      <c r="I2" s="597"/>
    </row>
    <row r="3" spans="1:9" x14ac:dyDescent="0.25">
      <c r="A3" s="81" t="s">
        <v>25</v>
      </c>
      <c r="B3" s="133"/>
      <c r="C3" s="106"/>
      <c r="D3" s="133"/>
      <c r="E3" s="107"/>
      <c r="G3" s="103" t="s">
        <v>26</v>
      </c>
      <c r="H3" s="103" t="s">
        <v>27</v>
      </c>
      <c r="I3" s="103" t="s">
        <v>28</v>
      </c>
    </row>
    <row r="4" spans="1:9" x14ac:dyDescent="0.25">
      <c r="A4" s="110" t="s">
        <v>29</v>
      </c>
      <c r="B4" s="477"/>
      <c r="C4" s="111"/>
      <c r="D4" s="477"/>
      <c r="E4" s="112"/>
      <c r="G4" s="134" t="e">
        <f>B4/Bedrijfsgegevens!$B$17*100</f>
        <v>#DIV/0!</v>
      </c>
      <c r="H4" s="135" t="e">
        <f>B4/Bedrijfsgegevens!$E$11</f>
        <v>#DIV/0!</v>
      </c>
      <c r="I4" s="136" t="e">
        <f>B4/Bedrijfsgegevens!$B$23</f>
        <v>#DIV/0!</v>
      </c>
    </row>
    <row r="5" spans="1:9" x14ac:dyDescent="0.25">
      <c r="A5" s="110" t="s">
        <v>30</v>
      </c>
      <c r="B5" s="478"/>
      <c r="C5" s="111"/>
      <c r="D5" s="478"/>
      <c r="E5" s="112"/>
      <c r="G5" s="137" t="e">
        <f>B5/Bedrijfsgegevens!$B$17*100</f>
        <v>#DIV/0!</v>
      </c>
      <c r="H5" s="138" t="e">
        <f>B5/Bedrijfsgegevens!$E$11</f>
        <v>#DIV/0!</v>
      </c>
      <c r="I5" s="139" t="e">
        <f>B5/Bedrijfsgegevens!$B$23</f>
        <v>#DIV/0!</v>
      </c>
    </row>
    <row r="6" spans="1:9" x14ac:dyDescent="0.25">
      <c r="A6" s="110" t="s">
        <v>31</v>
      </c>
      <c r="B6" s="478"/>
      <c r="C6" s="111"/>
      <c r="D6" s="478"/>
      <c r="E6" s="112"/>
      <c r="G6" s="137" t="e">
        <f>B6/Bedrijfsgegevens!$B$17*100</f>
        <v>#DIV/0!</v>
      </c>
      <c r="H6" s="138" t="e">
        <f>B6/Bedrijfsgegevens!$E$11</f>
        <v>#DIV/0!</v>
      </c>
      <c r="I6" s="139" t="e">
        <f>B6/Bedrijfsgegevens!$B$23</f>
        <v>#DIV/0!</v>
      </c>
    </row>
    <row r="7" spans="1:9" x14ac:dyDescent="0.25">
      <c r="A7" s="110" t="s">
        <v>32</v>
      </c>
      <c r="B7" s="479"/>
      <c r="C7" s="111"/>
      <c r="D7" s="479"/>
      <c r="E7" s="112"/>
      <c r="G7" s="140" t="e">
        <f>B7/Bedrijfsgegevens!$B$17*100</f>
        <v>#DIV/0!</v>
      </c>
      <c r="H7" s="138" t="e">
        <f>B7/Bedrijfsgegevens!$E$11</f>
        <v>#DIV/0!</v>
      </c>
      <c r="I7" s="139" t="e">
        <f>B7/Bedrijfsgegevens!$B$23</f>
        <v>#DIV/0!</v>
      </c>
    </row>
    <row r="8" spans="1:9" x14ac:dyDescent="0.25">
      <c r="A8" s="110"/>
      <c r="B8" s="120"/>
      <c r="C8" s="128">
        <f>SUM(B4:B7)</f>
        <v>0</v>
      </c>
      <c r="D8" s="118"/>
      <c r="E8" s="128">
        <f t="shared" ref="E8" si="0">SUM(D4:D7)</f>
        <v>0</v>
      </c>
      <c r="G8" s="143"/>
      <c r="H8" s="144"/>
      <c r="I8" s="145"/>
    </row>
    <row r="9" spans="1:9" x14ac:dyDescent="0.25">
      <c r="A9" s="22" t="s">
        <v>33</v>
      </c>
      <c r="B9" s="102"/>
      <c r="C9" s="108"/>
      <c r="D9" s="102"/>
      <c r="E9" s="23"/>
      <c r="G9" s="137"/>
      <c r="H9" s="138"/>
      <c r="I9" s="139"/>
    </row>
    <row r="10" spans="1:9" x14ac:dyDescent="0.25">
      <c r="A10" s="110" t="s">
        <v>34</v>
      </c>
      <c r="B10" s="501"/>
      <c r="C10" s="111"/>
      <c r="D10" s="502"/>
      <c r="E10" s="112"/>
      <c r="G10" s="134" t="e">
        <f>B10/Bedrijfsgegevens!$B$17*100</f>
        <v>#DIV/0!</v>
      </c>
      <c r="H10" s="135" t="e">
        <f>B10/Bedrijfsgegevens!$B$7</f>
        <v>#DIV/0!</v>
      </c>
      <c r="I10" s="136" t="e">
        <f>B10/Bedrijfsgegevens!$B$23</f>
        <v>#DIV/0!</v>
      </c>
    </row>
    <row r="11" spans="1:9" x14ac:dyDescent="0.25">
      <c r="A11" s="113" t="s">
        <v>35</v>
      </c>
      <c r="B11" s="478"/>
      <c r="C11" s="111"/>
      <c r="D11" s="480"/>
      <c r="E11" s="112"/>
      <c r="G11" s="137" t="e">
        <f>B11/Bedrijfsgegevens!$B$17*100</f>
        <v>#DIV/0!</v>
      </c>
      <c r="H11" s="138" t="e">
        <f>B11/Bedrijfsgegevens!$E$11</f>
        <v>#DIV/0!</v>
      </c>
      <c r="I11" s="139" t="e">
        <f>B11/Bedrijfsgegevens!$B$23</f>
        <v>#DIV/0!</v>
      </c>
    </row>
    <row r="12" spans="1:9" x14ac:dyDescent="0.25">
      <c r="A12" s="113" t="s">
        <v>36</v>
      </c>
      <c r="B12" s="478"/>
      <c r="C12" s="111"/>
      <c r="D12" s="480"/>
      <c r="E12" s="112"/>
      <c r="G12" s="137" t="e">
        <f>B12/Bedrijfsgegevens!$B$17*100</f>
        <v>#DIV/0!</v>
      </c>
      <c r="H12" s="138" t="e">
        <f>B12/Bedrijfsgegevens!$E$11</f>
        <v>#DIV/0!</v>
      </c>
      <c r="I12" s="139" t="e">
        <f>B12/Bedrijfsgegevens!$B$23</f>
        <v>#DIV/0!</v>
      </c>
    </row>
    <row r="13" spans="1:9" x14ac:dyDescent="0.25">
      <c r="A13" s="113" t="s">
        <v>37</v>
      </c>
      <c r="B13" s="478"/>
      <c r="C13" s="111"/>
      <c r="D13" s="480"/>
      <c r="E13" s="112"/>
      <c r="G13" s="137" t="e">
        <f>B13/Bedrijfsgegevens!$B$17*100</f>
        <v>#DIV/0!</v>
      </c>
      <c r="H13" s="138" t="e">
        <f>B13/Bedrijfsgegevens!$E$11</f>
        <v>#DIV/0!</v>
      </c>
      <c r="I13" s="139" t="e">
        <f>B13/Bedrijfsgegevens!$B$23</f>
        <v>#DIV/0!</v>
      </c>
    </row>
    <row r="14" spans="1:9" x14ac:dyDescent="0.25">
      <c r="A14" s="110" t="s">
        <v>38</v>
      </c>
      <c r="B14" s="480"/>
      <c r="C14" s="114"/>
      <c r="D14" s="480"/>
      <c r="E14" s="112"/>
      <c r="G14" s="137" t="e">
        <f>B14/Bedrijfsgegevens!$B$17*100</f>
        <v>#DIV/0!</v>
      </c>
      <c r="H14" s="138" t="e">
        <f>B14/Bedrijfsgegevens!$E$11</f>
        <v>#DIV/0!</v>
      </c>
      <c r="I14" s="139" t="e">
        <f>B14/Bedrijfsgegevens!$B$23</f>
        <v>#DIV/0!</v>
      </c>
    </row>
    <row r="15" spans="1:9" x14ac:dyDescent="0.25">
      <c r="A15" s="110" t="s">
        <v>39</v>
      </c>
      <c r="B15" s="480"/>
      <c r="C15" s="114"/>
      <c r="D15" s="480"/>
      <c r="E15" s="112"/>
      <c r="G15" s="137" t="e">
        <f>B15/Bedrijfsgegevens!$B$17*100</f>
        <v>#DIV/0!</v>
      </c>
      <c r="H15" s="138" t="e">
        <f>B15/Bedrijfsgegevens!$E$11</f>
        <v>#DIV/0!</v>
      </c>
      <c r="I15" s="139" t="e">
        <f>B15/Bedrijfsgegevens!$B$23</f>
        <v>#DIV/0!</v>
      </c>
    </row>
    <row r="16" spans="1:9" x14ac:dyDescent="0.25">
      <c r="A16" s="110" t="s">
        <v>40</v>
      </c>
      <c r="B16" s="480"/>
      <c r="C16" s="114"/>
      <c r="D16" s="480"/>
      <c r="E16" s="112"/>
      <c r="G16" s="137" t="e">
        <f>B16/Bedrijfsgegevens!$B$17*100</f>
        <v>#DIV/0!</v>
      </c>
      <c r="H16" s="138" t="e">
        <f>B16/Bedrijfsgegevens!$E$11</f>
        <v>#DIV/0!</v>
      </c>
      <c r="I16" s="139" t="e">
        <f>B16/Bedrijfsgegevens!$B$23</f>
        <v>#DIV/0!</v>
      </c>
    </row>
    <row r="17" spans="1:9" x14ac:dyDescent="0.25">
      <c r="A17" s="110" t="s">
        <v>41</v>
      </c>
      <c r="B17" s="480"/>
      <c r="C17" s="114"/>
      <c r="D17" s="480"/>
      <c r="E17" s="112"/>
      <c r="G17" s="137" t="e">
        <f>B17/Bedrijfsgegevens!$B$17*100</f>
        <v>#DIV/0!</v>
      </c>
      <c r="H17" s="138" t="e">
        <f>B17/Bedrijfsgegevens!$E$11</f>
        <v>#DIV/0!</v>
      </c>
      <c r="I17" s="139" t="e">
        <f>B17/Bedrijfsgegevens!$B$23</f>
        <v>#DIV/0!</v>
      </c>
    </row>
    <row r="18" spans="1:9" x14ac:dyDescent="0.25">
      <c r="A18" s="110" t="s">
        <v>42</v>
      </c>
      <c r="B18" s="480"/>
      <c r="C18" s="114"/>
      <c r="D18" s="480"/>
      <c r="E18" s="112"/>
      <c r="G18" s="137" t="e">
        <f>B18/Bedrijfsgegevens!$B$17*100</f>
        <v>#DIV/0!</v>
      </c>
      <c r="H18" s="138" t="e">
        <f>B18/Bedrijfsgegevens!$E$11</f>
        <v>#DIV/0!</v>
      </c>
      <c r="I18" s="139" t="e">
        <f>B18/Bedrijfsgegevens!$B$23</f>
        <v>#DIV/0!</v>
      </c>
    </row>
    <row r="19" spans="1:9" x14ac:dyDescent="0.25">
      <c r="A19" s="110" t="s">
        <v>43</v>
      </c>
      <c r="B19" s="481"/>
      <c r="C19" s="114"/>
      <c r="D19" s="480"/>
      <c r="E19" s="112"/>
      <c r="G19" s="140" t="e">
        <f>B19/Bedrijfsgegevens!$B$17*100</f>
        <v>#DIV/0!</v>
      </c>
      <c r="H19" s="141" t="e">
        <f>B19/Bedrijfsgegevens!$E$11</f>
        <v>#DIV/0!</v>
      </c>
      <c r="I19" s="142" t="e">
        <f>B19/Bedrijfsgegevens!$B$23</f>
        <v>#DIV/0!</v>
      </c>
    </row>
    <row r="20" spans="1:9" x14ac:dyDescent="0.25">
      <c r="A20" s="110"/>
      <c r="B20" s="120"/>
      <c r="C20" s="127">
        <f>SUM(B11:B19)</f>
        <v>0</v>
      </c>
      <c r="D20" s="124"/>
      <c r="E20" s="127">
        <f>SUM(D11:D19)</f>
        <v>0</v>
      </c>
      <c r="G20" s="137"/>
      <c r="H20" s="138"/>
      <c r="I20" s="139"/>
    </row>
    <row r="21" spans="1:9" x14ac:dyDescent="0.25">
      <c r="A21" s="110" t="s">
        <v>44</v>
      </c>
      <c r="B21" s="131">
        <f>SUM(B4:B7)-SUM(B11:B19)</f>
        <v>0</v>
      </c>
      <c r="C21" s="111"/>
      <c r="D21" s="131">
        <f>SUM(D4:D7)-SUM(D11:D19)</f>
        <v>0</v>
      </c>
      <c r="E21" s="112"/>
      <c r="G21" s="140" t="e">
        <f>B21/Bedrijfsgegevens!$B$17*100</f>
        <v>#DIV/0!</v>
      </c>
      <c r="H21" s="141" t="e">
        <f>B21/Bedrijfsgegevens!$E$11</f>
        <v>#DIV/0!</v>
      </c>
      <c r="I21" s="142" t="e">
        <f>B21/Bedrijfsgegevens!$B$23</f>
        <v>#DIV/0!</v>
      </c>
    </row>
    <row r="22" spans="1:9" x14ac:dyDescent="0.25">
      <c r="A22" s="22" t="s">
        <v>45</v>
      </c>
      <c r="B22" s="102"/>
      <c r="C22" s="108"/>
      <c r="D22" s="102"/>
      <c r="E22" s="23"/>
      <c r="G22" s="143"/>
      <c r="H22" s="144"/>
      <c r="I22" s="145"/>
    </row>
    <row r="23" spans="1:9" x14ac:dyDescent="0.25">
      <c r="A23" s="110" t="s">
        <v>46</v>
      </c>
      <c r="B23" s="478"/>
      <c r="C23" s="111"/>
      <c r="D23" s="478"/>
      <c r="E23" s="112"/>
      <c r="G23" s="137" t="e">
        <f>B23/Bedrijfsgegevens!$B$17*100</f>
        <v>#DIV/0!</v>
      </c>
      <c r="H23" s="138" t="e">
        <f>B23/Bedrijfsgegevens!$B$7</f>
        <v>#DIV/0!</v>
      </c>
      <c r="I23" s="139" t="e">
        <f>B23/Bedrijfsgegevens!$B$23</f>
        <v>#DIV/0!</v>
      </c>
    </row>
    <row r="24" spans="1:9" x14ac:dyDescent="0.25">
      <c r="A24" s="110" t="s">
        <v>47</v>
      </c>
      <c r="B24" s="478"/>
      <c r="C24" s="111"/>
      <c r="D24" s="478"/>
      <c r="E24" s="112"/>
      <c r="G24" s="137" t="e">
        <f>B24/Bedrijfsgegevens!$B$17*100</f>
        <v>#DIV/0!</v>
      </c>
      <c r="H24" s="138" t="e">
        <f>B24/Bedrijfsgegevens!$E$11</f>
        <v>#DIV/0!</v>
      </c>
      <c r="I24" s="139" t="e">
        <f>B24/Bedrijfsgegevens!$B$23</f>
        <v>#DIV/0!</v>
      </c>
    </row>
    <row r="25" spans="1:9" x14ac:dyDescent="0.25">
      <c r="A25" s="110" t="s">
        <v>48</v>
      </c>
      <c r="B25" s="478"/>
      <c r="C25" s="111"/>
      <c r="D25" s="478"/>
      <c r="E25" s="112"/>
      <c r="G25" s="137" t="e">
        <f>B25/Bedrijfsgegevens!$B$17*100</f>
        <v>#DIV/0!</v>
      </c>
      <c r="H25" s="138" t="e">
        <f>B25/Bedrijfsgegevens!$E$11</f>
        <v>#DIV/0!</v>
      </c>
      <c r="I25" s="139" t="e">
        <f>B25/Bedrijfsgegevens!$B$23</f>
        <v>#DIV/0!</v>
      </c>
    </row>
    <row r="26" spans="1:9" x14ac:dyDescent="0.25">
      <c r="A26" s="110" t="s">
        <v>49</v>
      </c>
      <c r="B26" s="478"/>
      <c r="C26" s="111"/>
      <c r="D26" s="478"/>
      <c r="E26" s="112"/>
      <c r="G26" s="137" t="e">
        <f>B26/Bedrijfsgegevens!$B$17*100</f>
        <v>#DIV/0!</v>
      </c>
      <c r="H26" s="138" t="e">
        <f>B26/Bedrijfsgegevens!$E$11</f>
        <v>#DIV/0!</v>
      </c>
      <c r="I26" s="139" t="e">
        <f>B26/Bedrijfsgegevens!$B$23</f>
        <v>#DIV/0!</v>
      </c>
    </row>
    <row r="27" spans="1:9" x14ac:dyDescent="0.25">
      <c r="A27" s="110" t="s">
        <v>50</v>
      </c>
      <c r="B27" s="478"/>
      <c r="C27" s="111"/>
      <c r="D27" s="478"/>
      <c r="E27" s="112"/>
      <c r="G27" s="137" t="e">
        <f>B27/Bedrijfsgegevens!$B$17*100</f>
        <v>#DIV/0!</v>
      </c>
      <c r="H27" s="138" t="e">
        <f>B27/Bedrijfsgegevens!$E$11</f>
        <v>#DIV/0!</v>
      </c>
      <c r="I27" s="139" t="e">
        <f>B27/Bedrijfsgegevens!$B$23</f>
        <v>#DIV/0!</v>
      </c>
    </row>
    <row r="28" spans="1:9" x14ac:dyDescent="0.25">
      <c r="A28" s="110" t="s">
        <v>51</v>
      </c>
      <c r="B28" s="478"/>
      <c r="C28" s="111"/>
      <c r="D28" s="478"/>
      <c r="E28" s="112"/>
      <c r="G28" s="137" t="e">
        <f>B28/Bedrijfsgegevens!$B$17*100</f>
        <v>#DIV/0!</v>
      </c>
      <c r="H28" s="138" t="e">
        <f>B28/Bedrijfsgegevens!$E$11</f>
        <v>#DIV/0!</v>
      </c>
      <c r="I28" s="139" t="e">
        <f>B28/Bedrijfsgegevens!$B$23</f>
        <v>#DIV/0!</v>
      </c>
    </row>
    <row r="29" spans="1:9" x14ac:dyDescent="0.25">
      <c r="A29" s="110" t="s">
        <v>52</v>
      </c>
      <c r="B29" s="478"/>
      <c r="C29" s="111"/>
      <c r="D29" s="478"/>
      <c r="E29" s="112"/>
      <c r="G29" s="137" t="e">
        <f>B29/Bedrijfsgegevens!$B$17*100</f>
        <v>#DIV/0!</v>
      </c>
      <c r="H29" s="138" t="e">
        <f>B29/Bedrijfsgegevens!$E$11</f>
        <v>#DIV/0!</v>
      </c>
      <c r="I29" s="139" t="e">
        <f>B29/Bedrijfsgegevens!$B$23</f>
        <v>#DIV/0!</v>
      </c>
    </row>
    <row r="30" spans="1:9" x14ac:dyDescent="0.25">
      <c r="A30" s="110" t="s">
        <v>53</v>
      </c>
      <c r="B30" s="478"/>
      <c r="C30" s="111"/>
      <c r="D30" s="478"/>
      <c r="E30" s="112"/>
      <c r="G30" s="137" t="e">
        <f>B30/Bedrijfsgegevens!$B$17*100</f>
        <v>#DIV/0!</v>
      </c>
      <c r="H30" s="138" t="e">
        <f>B30/Bedrijfsgegevens!$E$11</f>
        <v>#DIV/0!</v>
      </c>
      <c r="I30" s="139" t="e">
        <f>B30/Bedrijfsgegevens!$B$23</f>
        <v>#DIV/0!</v>
      </c>
    </row>
    <row r="31" spans="1:9" x14ac:dyDescent="0.25">
      <c r="A31" s="110" t="s">
        <v>54</v>
      </c>
      <c r="B31" s="478"/>
      <c r="C31" s="111"/>
      <c r="D31" s="478"/>
      <c r="E31" s="112"/>
      <c r="G31" s="137" t="e">
        <f>B31/Bedrijfsgegevens!$B$17*100</f>
        <v>#DIV/0!</v>
      </c>
      <c r="H31" s="138" t="e">
        <f>B31/Bedrijfsgegevens!$E$11</f>
        <v>#DIV/0!</v>
      </c>
      <c r="I31" s="139" t="e">
        <f>B31/Bedrijfsgegevens!$B$23</f>
        <v>#DIV/0!</v>
      </c>
    </row>
    <row r="32" spans="1:9" x14ac:dyDescent="0.25">
      <c r="A32" s="110" t="s">
        <v>55</v>
      </c>
      <c r="B32" s="478"/>
      <c r="C32" s="111"/>
      <c r="D32" s="478"/>
      <c r="E32" s="112"/>
      <c r="G32" s="137" t="e">
        <f>B32/Bedrijfsgegevens!$B$17*100</f>
        <v>#DIV/0!</v>
      </c>
      <c r="H32" s="138" t="e">
        <f>B32/Bedrijfsgegevens!$E$11</f>
        <v>#DIV/0!</v>
      </c>
      <c r="I32" s="139" t="e">
        <f>B32/Bedrijfsgegevens!$B$23</f>
        <v>#DIV/0!</v>
      </c>
    </row>
    <row r="33" spans="1:9" x14ac:dyDescent="0.25">
      <c r="A33" s="110" t="s">
        <v>50</v>
      </c>
      <c r="B33" s="478"/>
      <c r="C33" s="111"/>
      <c r="D33" s="478"/>
      <c r="E33" s="27"/>
      <c r="G33" s="137" t="e">
        <f>B33/Bedrijfsgegevens!$B$17*100</f>
        <v>#DIV/0!</v>
      </c>
      <c r="H33" s="141" t="e">
        <f>B33/Bedrijfsgegevens!$E$11</f>
        <v>#DIV/0!</v>
      </c>
      <c r="I33" s="139" t="e">
        <f>B33/Bedrijfsgegevens!$B$23</f>
        <v>#DIV/0!</v>
      </c>
    </row>
    <row r="34" spans="1:9" x14ac:dyDescent="0.25">
      <c r="A34" s="110"/>
      <c r="B34" s="125"/>
      <c r="C34" s="129">
        <f>SUM(B23:B33)</f>
        <v>0</v>
      </c>
      <c r="D34" s="126"/>
      <c r="E34" s="115">
        <f t="shared" ref="E34" si="1">SUM(D23:D33)</f>
        <v>0</v>
      </c>
      <c r="G34" s="134"/>
      <c r="H34" s="138"/>
      <c r="I34" s="136"/>
    </row>
    <row r="35" spans="1:9" x14ac:dyDescent="0.25">
      <c r="A35" s="110" t="s">
        <v>56</v>
      </c>
      <c r="B35" s="131">
        <f>B21-SUM(B23:B33)</f>
        <v>0</v>
      </c>
      <c r="C35" s="111"/>
      <c r="D35" s="131">
        <f>D21-SUM(D23:D33)</f>
        <v>0</v>
      </c>
      <c r="E35" s="112"/>
      <c r="G35" s="140" t="e">
        <f>B35/Bedrijfsgegevens!$B$17*100</f>
        <v>#DIV/0!</v>
      </c>
      <c r="H35" s="141" t="e">
        <f>B35/Bedrijfsgegevens!$E$11</f>
        <v>#DIV/0!</v>
      </c>
      <c r="I35" s="142" t="e">
        <f>B35/Bedrijfsgegevens!$B$23</f>
        <v>#DIV/0!</v>
      </c>
    </row>
    <row r="36" spans="1:9" x14ac:dyDescent="0.25">
      <c r="A36" s="22" t="s">
        <v>57</v>
      </c>
      <c r="B36" s="102"/>
      <c r="C36" s="108"/>
      <c r="D36" s="102"/>
      <c r="E36" s="23"/>
      <c r="G36" s="137"/>
      <c r="H36" s="138"/>
      <c r="I36" s="139"/>
    </row>
    <row r="37" spans="1:9" x14ac:dyDescent="0.25">
      <c r="A37" s="110" t="s">
        <v>58</v>
      </c>
      <c r="B37" s="480"/>
      <c r="C37" s="114"/>
      <c r="D37" s="478"/>
      <c r="E37" s="112"/>
      <c r="G37" s="137" t="e">
        <f>B37/Bedrijfsgegevens!$B$17*100</f>
        <v>#DIV/0!</v>
      </c>
      <c r="H37" s="138" t="e">
        <f>B37/Bedrijfsgegevens!$E$11</f>
        <v>#DIV/0!</v>
      </c>
      <c r="I37" s="139" t="e">
        <f>B37/Bedrijfsgegevens!$B$23</f>
        <v>#DIV/0!</v>
      </c>
    </row>
    <row r="38" spans="1:9" x14ac:dyDescent="0.25">
      <c r="A38" s="110" t="s">
        <v>59</v>
      </c>
      <c r="B38" s="481"/>
      <c r="C38" s="114"/>
      <c r="D38" s="478"/>
      <c r="E38" s="112"/>
      <c r="G38" s="137" t="e">
        <f>B38/Bedrijfsgegevens!$B$17*100</f>
        <v>#DIV/0!</v>
      </c>
      <c r="H38" s="141" t="e">
        <f>B38/Bedrijfsgegevens!$E$11</f>
        <v>#DIV/0!</v>
      </c>
      <c r="I38" s="142" t="e">
        <f>B38/Bedrijfsgegevens!$B$23</f>
        <v>#DIV/0!</v>
      </c>
    </row>
    <row r="39" spans="1:9" x14ac:dyDescent="0.25">
      <c r="A39" s="110"/>
      <c r="B39" s="119"/>
      <c r="C39" s="111"/>
      <c r="D39" s="125"/>
      <c r="E39" s="112"/>
      <c r="G39" s="134"/>
      <c r="H39" s="138"/>
      <c r="I39" s="139"/>
    </row>
    <row r="40" spans="1:9" x14ac:dyDescent="0.25">
      <c r="A40" s="110" t="s">
        <v>60</v>
      </c>
      <c r="B40" s="478"/>
      <c r="C40" s="111"/>
      <c r="D40" s="478"/>
      <c r="E40" s="112"/>
      <c r="G40" s="140" t="e">
        <f>B40/Bedrijfsgegevens!$B$17*100</f>
        <v>#DIV/0!</v>
      </c>
      <c r="H40" s="141" t="e">
        <f>B40/Bedrijfsgegevens!$E$11</f>
        <v>#DIV/0!</v>
      </c>
      <c r="I40" s="142" t="e">
        <f>B40/Bedrijfsgegevens!$B$23</f>
        <v>#DIV/0!</v>
      </c>
    </row>
    <row r="41" spans="1:9" x14ac:dyDescent="0.25">
      <c r="A41" s="121" t="s">
        <v>61</v>
      </c>
      <c r="B41" s="130">
        <f>B35+B37+B38-B40</f>
        <v>0</v>
      </c>
      <c r="C41" s="122"/>
      <c r="D41" s="130">
        <f>D35+D37+D38-D40</f>
        <v>0</v>
      </c>
      <c r="E41" s="123"/>
      <c r="G41" s="140" t="e">
        <f>B41/Bedrijfsgegevens!$B$17*100</f>
        <v>#DIV/0!</v>
      </c>
      <c r="H41" s="138" t="e">
        <f>B41/Bedrijfsgegevens!$E$11</f>
        <v>#DIV/0!</v>
      </c>
      <c r="I41" s="139" t="e">
        <f>B41/Bedrijfsgegevens!$B$23</f>
        <v>#DIV/0!</v>
      </c>
    </row>
    <row r="42" spans="1:9" x14ac:dyDescent="0.25">
      <c r="A42" s="401"/>
      <c r="B42" s="553"/>
      <c r="C42" s="432"/>
      <c r="D42" s="553"/>
      <c r="E42" s="163"/>
      <c r="G42" s="134"/>
      <c r="H42" s="135"/>
      <c r="I42" s="136"/>
    </row>
    <row r="43" spans="1:9" x14ac:dyDescent="0.25">
      <c r="A43" s="64" t="s">
        <v>62</v>
      </c>
      <c r="B43" s="491"/>
      <c r="C43" s="433"/>
      <c r="D43" s="170"/>
      <c r="E43" s="112"/>
      <c r="G43" s="137" t="e">
        <f>B43/Bedrijfsgegevens!$B$17*100</f>
        <v>#DIV/0!</v>
      </c>
      <c r="H43" s="138" t="e">
        <f>B43/Bedrijfsgegevens!$E$11</f>
        <v>#DIV/0!</v>
      </c>
      <c r="I43" s="139" t="e">
        <f>B43/Bedrijfsgegevens!$B$23</f>
        <v>#DIV/0!</v>
      </c>
    </row>
    <row r="44" spans="1:9" x14ac:dyDescent="0.25">
      <c r="A44" s="64" t="s">
        <v>63</v>
      </c>
      <c r="B44" s="178">
        <f>B41+B26-B43</f>
        <v>0</v>
      </c>
      <c r="C44" s="433"/>
      <c r="D44" s="170"/>
      <c r="E44" s="112"/>
      <c r="G44" s="137" t="e">
        <f>B44/Bedrijfsgegevens!$B$17*100</f>
        <v>#DIV/0!</v>
      </c>
      <c r="H44" s="138" t="e">
        <f>B44/Bedrijfsgegevens!$E$11</f>
        <v>#DIV/0!</v>
      </c>
      <c r="I44" s="139" t="e">
        <f>B44/Bedrijfsgegevens!$B$23</f>
        <v>#DIV/0!</v>
      </c>
    </row>
    <row r="45" spans="1:9" x14ac:dyDescent="0.25">
      <c r="A45" s="64" t="s">
        <v>64</v>
      </c>
      <c r="B45" s="491"/>
      <c r="C45" s="433"/>
      <c r="D45" s="170"/>
      <c r="E45" s="112"/>
      <c r="G45" s="137" t="e">
        <f>B45/Bedrijfsgegevens!$B$17*100</f>
        <v>#DIV/0!</v>
      </c>
      <c r="H45" s="138" t="e">
        <f>B45/Bedrijfsgegevens!$E$11</f>
        <v>#DIV/0!</v>
      </c>
      <c r="I45" s="139" t="e">
        <f>B45/Bedrijfsgegevens!$B$23</f>
        <v>#DIV/0!</v>
      </c>
    </row>
    <row r="46" spans="1:9" x14ac:dyDescent="0.25">
      <c r="A46" s="110" t="s">
        <v>65</v>
      </c>
      <c r="B46" s="491"/>
      <c r="C46" s="433"/>
      <c r="D46" s="170"/>
      <c r="E46" s="112"/>
      <c r="G46" s="137"/>
      <c r="H46" s="138" t="e">
        <f>B46/Bedrijfsgegevens!$E$11</f>
        <v>#DIV/0!</v>
      </c>
      <c r="I46" s="139" t="e">
        <f>B46/Bedrijfsgegevens!$B$23</f>
        <v>#DIV/0!</v>
      </c>
    </row>
    <row r="47" spans="1:9" x14ac:dyDescent="0.25">
      <c r="A47" s="110" t="s">
        <v>66</v>
      </c>
      <c r="B47" s="178">
        <f>B44-B45-B46</f>
        <v>0</v>
      </c>
      <c r="C47" s="433"/>
      <c r="D47" s="170"/>
      <c r="E47" s="112"/>
      <c r="G47" s="137"/>
      <c r="H47" s="138" t="e">
        <f>B47/Bedrijfsgegevens!$E$11</f>
        <v>#DIV/0!</v>
      </c>
      <c r="I47" s="139" t="e">
        <f>B47/Bedrijfsgegevens!$B$23</f>
        <v>#DIV/0!</v>
      </c>
    </row>
    <row r="48" spans="1:9" x14ac:dyDescent="0.25">
      <c r="A48" s="110"/>
      <c r="B48" s="27"/>
      <c r="C48" s="433"/>
      <c r="D48" s="27"/>
      <c r="E48" s="112"/>
      <c r="G48" s="137"/>
      <c r="H48" s="138"/>
      <c r="I48" s="139"/>
    </row>
    <row r="49" spans="1:9" x14ac:dyDescent="0.25">
      <c r="A49" s="434" t="s">
        <v>67</v>
      </c>
      <c r="B49" s="554"/>
      <c r="C49" s="435"/>
      <c r="D49" s="98"/>
      <c r="E49" s="123"/>
      <c r="G49" s="143" t="e">
        <f>SUM(G23:G33)+SUM(G10:G19)-G5-G6-G7-G37-G38+G40</f>
        <v>#DIV/0!</v>
      </c>
      <c r="H49" s="144" t="e">
        <f>B49/Bedrijfsgegevens!$E$11</f>
        <v>#DIV/0!</v>
      </c>
      <c r="I49" s="145" t="e">
        <f>B49/Bedrijfsgegevens!$B$23</f>
        <v>#DIV/0!</v>
      </c>
    </row>
  </sheetData>
  <mergeCells count="1">
    <mergeCell ref="G2:I2"/>
  </mergeCells>
  <pageMargins left="0.7" right="0.7" top="0.75" bottom="0.75" header="0.3" footer="0.3"/>
  <pageSetup paperSize="9"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ED9B73-F505-44BE-8E69-A9BBEF8679BC}">
  <sheetPr codeName="Blad3">
    <tabColor theme="4" tint="0.59999389629810485"/>
  </sheetPr>
  <dimension ref="A3:H35"/>
  <sheetViews>
    <sheetView zoomScale="85" zoomScaleNormal="85" workbookViewId="0">
      <selection activeCell="B30" sqref="B30"/>
    </sheetView>
  </sheetViews>
  <sheetFormatPr defaultRowHeight="15" x14ac:dyDescent="0.25"/>
  <cols>
    <col min="1" max="1" width="35" bestFit="1" customWidth="1"/>
    <col min="2" max="2" width="18.140625" bestFit="1" customWidth="1"/>
    <col min="3" max="3" width="20.140625" bestFit="1" customWidth="1"/>
    <col min="4" max="4" width="21.42578125" bestFit="1" customWidth="1"/>
    <col min="5" max="5" width="14.7109375" bestFit="1" customWidth="1"/>
    <col min="6" max="7" width="25.140625" bestFit="1" customWidth="1"/>
    <col min="8" max="8" width="22.140625" bestFit="1" customWidth="1"/>
  </cols>
  <sheetData>
    <row r="3" spans="1:8" x14ac:dyDescent="0.25">
      <c r="A3" s="598" t="s">
        <v>68</v>
      </c>
      <c r="B3" s="599"/>
      <c r="C3" s="599"/>
      <c r="D3" s="599"/>
      <c r="E3" s="599"/>
      <c r="F3" s="600"/>
      <c r="G3" s="440"/>
    </row>
    <row r="4" spans="1:8" x14ac:dyDescent="0.25">
      <c r="A4" s="100" t="s">
        <v>69</v>
      </c>
      <c r="B4" s="100" t="s">
        <v>70</v>
      </c>
      <c r="C4" s="22" t="s">
        <v>71</v>
      </c>
      <c r="D4" s="100" t="s">
        <v>72</v>
      </c>
      <c r="E4" s="100" t="s">
        <v>73</v>
      </c>
      <c r="F4" s="151" t="s">
        <v>74</v>
      </c>
    </row>
    <row r="5" spans="1:8" x14ac:dyDescent="0.25">
      <c r="A5" s="473"/>
      <c r="B5" s="473" t="s">
        <v>76</v>
      </c>
      <c r="C5" s="146" t="e">
        <f>E5/A5</f>
        <v>#DIV/0!</v>
      </c>
      <c r="D5" s="475">
        <v>0</v>
      </c>
      <c r="E5" s="475">
        <v>0</v>
      </c>
      <c r="F5" s="147">
        <f t="shared" ref="F5:F14" si="0">E5*D5/1000</f>
        <v>0</v>
      </c>
    </row>
    <row r="6" spans="1:8" x14ac:dyDescent="0.25">
      <c r="A6" s="474"/>
      <c r="B6" s="474" t="s">
        <v>75</v>
      </c>
      <c r="C6" s="146" t="e">
        <f>E6/A6</f>
        <v>#DIV/0!</v>
      </c>
      <c r="D6" s="482">
        <v>0</v>
      </c>
      <c r="E6" s="482">
        <v>0</v>
      </c>
      <c r="F6" s="148">
        <f t="shared" si="0"/>
        <v>0</v>
      </c>
    </row>
    <row r="7" spans="1:8" x14ac:dyDescent="0.25">
      <c r="A7" s="474"/>
      <c r="B7" s="474" t="s">
        <v>76</v>
      </c>
      <c r="C7" s="9" t="e">
        <f>E7/A7</f>
        <v>#DIV/0!</v>
      </c>
      <c r="D7" s="482">
        <v>0</v>
      </c>
      <c r="E7" s="482">
        <v>0</v>
      </c>
      <c r="F7" s="148">
        <f t="shared" si="0"/>
        <v>0</v>
      </c>
    </row>
    <row r="8" spans="1:8" x14ac:dyDescent="0.25">
      <c r="A8" s="474"/>
      <c r="B8" s="474"/>
      <c r="C8" s="9" t="e">
        <f t="shared" ref="C8:C13" si="1">E8/A8</f>
        <v>#DIV/0!</v>
      </c>
      <c r="D8" s="482"/>
      <c r="E8" s="482"/>
      <c r="F8" s="148">
        <f t="shared" si="0"/>
        <v>0</v>
      </c>
    </row>
    <row r="9" spans="1:8" x14ac:dyDescent="0.25">
      <c r="A9" s="474"/>
      <c r="B9" s="474"/>
      <c r="C9" s="9" t="e">
        <f t="shared" si="1"/>
        <v>#DIV/0!</v>
      </c>
      <c r="D9" s="482"/>
      <c r="E9" s="482"/>
      <c r="F9" s="148">
        <f t="shared" si="0"/>
        <v>0</v>
      </c>
    </row>
    <row r="10" spans="1:8" x14ac:dyDescent="0.25">
      <c r="A10" s="474"/>
      <c r="B10" s="474"/>
      <c r="C10" s="9" t="e">
        <f t="shared" si="1"/>
        <v>#DIV/0!</v>
      </c>
      <c r="D10" s="482"/>
      <c r="E10" s="482"/>
      <c r="F10" s="148">
        <f t="shared" si="0"/>
        <v>0</v>
      </c>
    </row>
    <row r="11" spans="1:8" x14ac:dyDescent="0.25">
      <c r="A11" s="474"/>
      <c r="B11" s="474"/>
      <c r="C11" s="9" t="e">
        <f t="shared" si="1"/>
        <v>#DIV/0!</v>
      </c>
      <c r="D11" s="482"/>
      <c r="E11" s="482"/>
      <c r="F11" s="148">
        <f t="shared" si="0"/>
        <v>0</v>
      </c>
    </row>
    <row r="12" spans="1:8" x14ac:dyDescent="0.25">
      <c r="A12" s="474"/>
      <c r="B12" s="474"/>
      <c r="C12" s="9" t="e">
        <f t="shared" si="1"/>
        <v>#DIV/0!</v>
      </c>
      <c r="D12" s="482"/>
      <c r="E12" s="482"/>
      <c r="F12" s="148">
        <f t="shared" si="0"/>
        <v>0</v>
      </c>
    </row>
    <row r="13" spans="1:8" x14ac:dyDescent="0.25">
      <c r="A13" s="474"/>
      <c r="B13" s="474"/>
      <c r="C13" s="9" t="e">
        <f t="shared" si="1"/>
        <v>#DIV/0!</v>
      </c>
      <c r="D13" s="482"/>
      <c r="E13" s="482"/>
      <c r="F13" s="148">
        <f t="shared" si="0"/>
        <v>0</v>
      </c>
    </row>
    <row r="14" spans="1:8" x14ac:dyDescent="0.25">
      <c r="A14" s="302"/>
      <c r="B14" s="302" t="s">
        <v>78</v>
      </c>
      <c r="C14" s="149"/>
      <c r="D14" s="476"/>
      <c r="E14" s="476">
        <f t="shared" ref="E14" si="2">A14*C14</f>
        <v>0</v>
      </c>
      <c r="F14" s="150">
        <f t="shared" si="0"/>
        <v>0</v>
      </c>
    </row>
    <row r="15" spans="1:8" x14ac:dyDescent="0.25">
      <c r="A15" s="98">
        <f>SUM(A5:A14)</f>
        <v>0</v>
      </c>
      <c r="B15" s="98"/>
      <c r="C15" s="157"/>
      <c r="D15" s="158"/>
      <c r="E15" s="159">
        <f>SUM(E5:E14)</f>
        <v>0</v>
      </c>
      <c r="F15" s="159">
        <f>SUM(F5:F14)</f>
        <v>0</v>
      </c>
    </row>
    <row r="16" spans="1:8" x14ac:dyDescent="0.25">
      <c r="A16" s="156"/>
      <c r="D16" s="8"/>
      <c r="E16" s="3"/>
      <c r="F16" s="3"/>
      <c r="G16" s="3"/>
      <c r="H16" s="3"/>
    </row>
    <row r="17" spans="1:7" x14ac:dyDescent="0.25">
      <c r="A17" s="22" t="s">
        <v>79</v>
      </c>
      <c r="B17" s="100" t="s">
        <v>15</v>
      </c>
      <c r="C17" s="152" t="s">
        <v>80</v>
      </c>
      <c r="D17" s="151" t="s">
        <v>81</v>
      </c>
      <c r="F17" s="153" t="s">
        <v>82</v>
      </c>
      <c r="G17" s="105"/>
    </row>
    <row r="18" spans="1:7" x14ac:dyDescent="0.25">
      <c r="A18" s="109" t="s">
        <v>83</v>
      </c>
      <c r="B18" s="483">
        <v>0</v>
      </c>
      <c r="C18" s="475">
        <v>0</v>
      </c>
      <c r="D18" s="172">
        <f t="shared" ref="D18:D21" si="3">B18*C18/1000</f>
        <v>0</v>
      </c>
      <c r="F18" s="109" t="str">
        <f>Selectievakken!H3</f>
        <v>Grasland</v>
      </c>
      <c r="G18" s="163">
        <f>SUMIF($B$5:$B$14,F18,$A$5:$A$16)</f>
        <v>0</v>
      </c>
    </row>
    <row r="19" spans="1:7" x14ac:dyDescent="0.25">
      <c r="A19" s="170" t="s">
        <v>84</v>
      </c>
      <c r="B19" s="483"/>
      <c r="C19" s="482"/>
      <c r="D19" s="173">
        <f t="shared" si="3"/>
        <v>0</v>
      </c>
      <c r="F19" s="170" t="str">
        <f>Selectievakken!H4</f>
        <v>Productief kruidenrijk grasland</v>
      </c>
      <c r="G19" s="112">
        <f t="shared" ref="G19:G30" si="4">SUMIF($B$5:$B$14,F19,$A$5:$A$16)</f>
        <v>0</v>
      </c>
    </row>
    <row r="20" spans="1:7" x14ac:dyDescent="0.25">
      <c r="A20" s="170" t="s">
        <v>85</v>
      </c>
      <c r="B20" s="483">
        <v>0</v>
      </c>
      <c r="C20" s="482">
        <v>0</v>
      </c>
      <c r="D20" s="173">
        <f t="shared" si="3"/>
        <v>0</v>
      </c>
      <c r="F20" s="170" t="str">
        <f>Selectievakken!H5</f>
        <v>Grasland NIL</v>
      </c>
      <c r="G20" s="112">
        <f t="shared" si="4"/>
        <v>0</v>
      </c>
    </row>
    <row r="21" spans="1:7" x14ac:dyDescent="0.25">
      <c r="A21" s="170" t="s">
        <v>87</v>
      </c>
      <c r="B21" s="483">
        <v>0</v>
      </c>
      <c r="C21" s="482">
        <v>0</v>
      </c>
      <c r="D21" s="173">
        <f t="shared" si="3"/>
        <v>0</v>
      </c>
      <c r="F21" s="170" t="str">
        <f>Selectievakken!H6</f>
        <v>Extensief kruidenrijk grasland</v>
      </c>
      <c r="G21" s="112">
        <f t="shared" si="4"/>
        <v>0</v>
      </c>
    </row>
    <row r="22" spans="1:7" x14ac:dyDescent="0.25">
      <c r="A22" s="170" t="s">
        <v>89</v>
      </c>
      <c r="B22" s="483">
        <v>0</v>
      </c>
      <c r="C22" s="482">
        <v>0</v>
      </c>
      <c r="D22" s="173">
        <f>B22*C22/1000</f>
        <v>0</v>
      </c>
      <c r="F22" s="170" t="str">
        <f>Selectievakken!H7</f>
        <v>Natuurgras (Niet bemestbaar)</v>
      </c>
      <c r="G22" s="112">
        <f t="shared" si="4"/>
        <v>0</v>
      </c>
    </row>
    <row r="23" spans="1:7" ht="13.9" customHeight="1" x14ac:dyDescent="0.25">
      <c r="A23" s="170" t="s">
        <v>90</v>
      </c>
      <c r="B23" s="484"/>
      <c r="C23" s="476"/>
      <c r="D23" s="160">
        <f>B23*C23/1000</f>
        <v>0</v>
      </c>
      <c r="F23" s="170" t="str">
        <f>Selectievakken!H8</f>
        <v>Grasklaver</v>
      </c>
      <c r="G23" s="112">
        <f t="shared" si="4"/>
        <v>0</v>
      </c>
    </row>
    <row r="24" spans="1:7" x14ac:dyDescent="0.25">
      <c r="A24" s="121" t="s">
        <v>8</v>
      </c>
      <c r="B24" s="158"/>
      <c r="C24" s="4"/>
      <c r="D24" s="171">
        <f>SUM(D18:D23)</f>
        <v>0</v>
      </c>
      <c r="F24" s="170" t="str">
        <f>Selectievakken!H9</f>
        <v>Luzerne</v>
      </c>
      <c r="G24" s="112">
        <f t="shared" si="4"/>
        <v>0</v>
      </c>
    </row>
    <row r="25" spans="1:7" x14ac:dyDescent="0.25">
      <c r="F25" s="170" t="str">
        <f>Selectievakken!H10</f>
        <v>Veldbonen</v>
      </c>
      <c r="G25" s="112">
        <f t="shared" si="4"/>
        <v>0</v>
      </c>
    </row>
    <row r="26" spans="1:7" x14ac:dyDescent="0.25">
      <c r="A26" s="174" t="s">
        <v>93</v>
      </c>
      <c r="B26" s="485" t="e">
        <f>('Winst en verliesrekening'!B11)/SUM(B20:B21)</f>
        <v>#DIV/0!</v>
      </c>
      <c r="C26" s="393"/>
      <c r="F26" s="170" t="str">
        <f>Selectievakken!H11</f>
        <v>Snijmais</v>
      </c>
      <c r="G26" s="112">
        <f t="shared" si="4"/>
        <v>0</v>
      </c>
    </row>
    <row r="27" spans="1:7" x14ac:dyDescent="0.25">
      <c r="F27" s="170" t="str">
        <f>Selectievakken!H12</f>
        <v>Korrelmais</v>
      </c>
      <c r="G27" s="112">
        <f t="shared" si="4"/>
        <v>0</v>
      </c>
    </row>
    <row r="28" spans="1:7" x14ac:dyDescent="0.25">
      <c r="A28" s="22" t="s">
        <v>95</v>
      </c>
      <c r="B28" s="152"/>
      <c r="C28" s="152" t="s">
        <v>96</v>
      </c>
      <c r="D28" s="151" t="s">
        <v>97</v>
      </c>
      <c r="F28" s="170" t="str">
        <f>Selectievakken!H13</f>
        <v>Voederbieten</v>
      </c>
      <c r="G28" s="112">
        <f t="shared" si="4"/>
        <v>0</v>
      </c>
    </row>
    <row r="29" spans="1:7" x14ac:dyDescent="0.25">
      <c r="A29" s="176" t="s">
        <v>99</v>
      </c>
      <c r="B29" s="109">
        <f>Bedrijfsgegevens!B8</f>
        <v>0</v>
      </c>
      <c r="C29" s="163">
        <v>3850</v>
      </c>
      <c r="D29" s="172">
        <f>B29*C29*365/1000</f>
        <v>0</v>
      </c>
      <c r="F29" s="170" t="str">
        <f>Selectievakken!H14</f>
        <v>Granen</v>
      </c>
      <c r="G29" s="112">
        <f t="shared" si="4"/>
        <v>0</v>
      </c>
    </row>
    <row r="30" spans="1:7" x14ac:dyDescent="0.25">
      <c r="A30" s="110" t="s">
        <v>100</v>
      </c>
      <c r="B30" s="170">
        <f>Bedrijfsgegevens!B9</f>
        <v>0</v>
      </c>
      <c r="C30" s="112">
        <v>7008</v>
      </c>
      <c r="D30" s="173">
        <f t="shared" ref="D30:D31" si="5">B30*C30*365/1000</f>
        <v>0</v>
      </c>
      <c r="F30" s="27" t="str">
        <f>Selectievakken!H15</f>
        <v>Overig</v>
      </c>
      <c r="G30" s="117">
        <f t="shared" si="4"/>
        <v>0</v>
      </c>
    </row>
    <row r="31" spans="1:7" x14ac:dyDescent="0.25">
      <c r="A31" s="116" t="s">
        <v>9</v>
      </c>
      <c r="B31" s="27">
        <f>Bedrijfsgegevens!B7</f>
        <v>0</v>
      </c>
      <c r="C31" s="117" t="e">
        <f>INDEX(Selectievakken!$O$5:$U$22,MATCH(Bedrijfsgegevens!$B$14,Selectievakken!$N$5:$N$22,1),MATCH(Bedrijfsgegevens!$B$15,Selectievakken!$O$4:$U$4,0))</f>
        <v>#N/A</v>
      </c>
      <c r="D31" s="160" t="e">
        <f t="shared" si="5"/>
        <v>#N/A</v>
      </c>
      <c r="F31" s="494" t="s">
        <v>101</v>
      </c>
      <c r="G31" s="506" t="e">
        <f>(SUM(G18:G21)+G23)/(A15-G22)</f>
        <v>#DIV/0!</v>
      </c>
    </row>
    <row r="32" spans="1:7" x14ac:dyDescent="0.25">
      <c r="A32" s="116" t="s">
        <v>8</v>
      </c>
      <c r="B32" s="27"/>
      <c r="C32" s="117"/>
      <c r="D32" s="161" t="e">
        <f>SUM(D29:D31)</f>
        <v>#N/A</v>
      </c>
    </row>
    <row r="34" spans="1:2" x14ac:dyDescent="0.25">
      <c r="A34" s="22" t="s">
        <v>102</v>
      </c>
      <c r="B34" s="23"/>
    </row>
    <row r="35" spans="1:2" x14ac:dyDescent="0.25">
      <c r="A35" s="98" t="s">
        <v>103</v>
      </c>
      <c r="B35" s="175" t="e">
        <f>SUM(F5:F14)+D24-D32</f>
        <v>#N/A</v>
      </c>
    </row>
  </sheetData>
  <mergeCells count="1">
    <mergeCell ref="A3:F3"/>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F7B11A6C-39AF-498D-B0CB-A4CE19457A82}">
          <x14:formula1>
            <xm:f>Selectievakken!$H$3:$H$15</xm:f>
          </x14:formula1>
          <xm:sqref>B5:B13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5B671-F018-46A5-B680-9E73037D6113}">
  <sheetPr codeName="Blad4">
    <tabColor theme="4" tint="0.59999389629810485"/>
  </sheetPr>
  <dimension ref="B2:F24"/>
  <sheetViews>
    <sheetView zoomScale="80" zoomScaleNormal="80" workbookViewId="0">
      <selection activeCell="D20" sqref="D20"/>
    </sheetView>
  </sheetViews>
  <sheetFormatPr defaultRowHeight="15" x14ac:dyDescent="0.25"/>
  <cols>
    <col min="1" max="1" width="11.28515625" customWidth="1"/>
    <col min="2" max="2" width="47" bestFit="1" customWidth="1"/>
    <col min="3" max="3" width="16.7109375" bestFit="1" customWidth="1"/>
    <col min="4" max="4" width="27.140625" bestFit="1" customWidth="1"/>
    <col min="5" max="6" width="16.28515625" bestFit="1" customWidth="1"/>
  </cols>
  <sheetData>
    <row r="2" spans="2:5" x14ac:dyDescent="0.25">
      <c r="B2" s="22" t="s">
        <v>104</v>
      </c>
      <c r="C2" s="82" t="s">
        <v>8</v>
      </c>
    </row>
    <row r="3" spans="2:5" x14ac:dyDescent="0.25">
      <c r="B3" s="176" t="s">
        <v>105</v>
      </c>
      <c r="C3" s="564">
        <v>0</v>
      </c>
      <c r="D3" t="s">
        <v>106</v>
      </c>
    </row>
    <row r="4" spans="2:5" x14ac:dyDescent="0.25">
      <c r="B4" s="116" t="s">
        <v>107</v>
      </c>
      <c r="C4" s="563">
        <v>0</v>
      </c>
    </row>
    <row r="6" spans="2:5" x14ac:dyDescent="0.25">
      <c r="B6" s="22" t="s">
        <v>108</v>
      </c>
      <c r="C6" s="100" t="s">
        <v>8</v>
      </c>
    </row>
    <row r="7" spans="2:5" x14ac:dyDescent="0.25">
      <c r="B7" s="176" t="s">
        <v>109</v>
      </c>
      <c r="C7" s="181" t="e">
        <f>C3/Bedrijfsgegevens!$E$11</f>
        <v>#DIV/0!</v>
      </c>
    </row>
    <row r="8" spans="2:5" x14ac:dyDescent="0.25">
      <c r="B8" s="116" t="s">
        <v>110</v>
      </c>
      <c r="C8" s="180" t="e">
        <f>C4/Bedrijfsgegevens!$E$11</f>
        <v>#DIV/0!</v>
      </c>
    </row>
    <row r="10" spans="2:5" x14ac:dyDescent="0.25">
      <c r="B10" s="598" t="s">
        <v>111</v>
      </c>
      <c r="C10" s="599"/>
      <c r="D10" s="599"/>
      <c r="E10" s="600"/>
    </row>
    <row r="11" spans="2:5" x14ac:dyDescent="0.25">
      <c r="B11" s="22" t="s">
        <v>112</v>
      </c>
      <c r="C11" s="82" t="s">
        <v>113</v>
      </c>
      <c r="D11" s="152" t="s">
        <v>114</v>
      </c>
      <c r="E11" s="100" t="s">
        <v>115</v>
      </c>
    </row>
    <row r="12" spans="2:5" x14ac:dyDescent="0.25">
      <c r="B12" s="176" t="s">
        <v>116</v>
      </c>
      <c r="C12" s="564">
        <v>0</v>
      </c>
      <c r="D12" t="e">
        <f>IF(Voer!$G$31&gt;80%,230,170)</f>
        <v>#DIV/0!</v>
      </c>
      <c r="E12" s="170" t="e">
        <f>C12*D12</f>
        <v>#DIV/0!</v>
      </c>
    </row>
    <row r="13" spans="2:5" x14ac:dyDescent="0.25">
      <c r="B13" s="110" t="s">
        <v>117</v>
      </c>
      <c r="C13" s="562">
        <v>0</v>
      </c>
      <c r="D13" t="e">
        <f>IF(Voer!$G$31&gt;80%,250,170)</f>
        <v>#DIV/0!</v>
      </c>
      <c r="E13" s="170" t="e">
        <f t="shared" ref="E13:E15" si="0">C13*D13</f>
        <v>#DIV/0!</v>
      </c>
    </row>
    <row r="14" spans="2:5" x14ac:dyDescent="0.25">
      <c r="B14" s="110" t="s">
        <v>118</v>
      </c>
      <c r="C14" s="563">
        <v>0</v>
      </c>
      <c r="D14" t="e">
        <f>IF(Voer!$G$31&gt;80%,250,170)</f>
        <v>#DIV/0!</v>
      </c>
      <c r="E14" s="170" t="e">
        <f t="shared" si="0"/>
        <v>#DIV/0!</v>
      </c>
    </row>
    <row r="15" spans="2:5" x14ac:dyDescent="0.25">
      <c r="B15" s="27" t="s">
        <v>119</v>
      </c>
      <c r="C15" s="27">
        <f>Voer!G22</f>
        <v>0</v>
      </c>
      <c r="D15" s="1">
        <v>0</v>
      </c>
      <c r="E15" s="27">
        <f t="shared" si="0"/>
        <v>0</v>
      </c>
    </row>
    <row r="16" spans="2:5" x14ac:dyDescent="0.25">
      <c r="B16" s="179" t="s">
        <v>120</v>
      </c>
      <c r="C16" s="27"/>
      <c r="D16" s="27"/>
      <c r="E16" s="27" t="e">
        <f>SUM(E12:E15)</f>
        <v>#DIV/0!</v>
      </c>
    </row>
    <row r="17" spans="2:6" x14ac:dyDescent="0.25">
      <c r="B17" s="188" t="s">
        <v>121</v>
      </c>
      <c r="C17" s="156">
        <f>Bedrijfsgegevens!B20+Bedrijfsgegevens!B21</f>
        <v>0</v>
      </c>
      <c r="D17" s="156"/>
      <c r="E17" s="156"/>
    </row>
    <row r="19" spans="2:6" x14ac:dyDescent="0.25">
      <c r="B19" s="100"/>
      <c r="C19" s="100"/>
      <c r="D19" s="82" t="s">
        <v>122</v>
      </c>
    </row>
    <row r="20" spans="2:6" x14ac:dyDescent="0.25">
      <c r="B20" s="179" t="s">
        <v>123</v>
      </c>
      <c r="C20" s="116"/>
      <c r="D20" s="566">
        <v>0</v>
      </c>
    </row>
    <row r="22" spans="2:6" x14ac:dyDescent="0.25">
      <c r="B22" s="100" t="s">
        <v>124</v>
      </c>
      <c r="C22" s="152" t="s">
        <v>15</v>
      </c>
      <c r="D22" s="100" t="s">
        <v>125</v>
      </c>
      <c r="E22" s="154" t="s">
        <v>126</v>
      </c>
      <c r="F22" s="100" t="s">
        <v>127</v>
      </c>
    </row>
    <row r="23" spans="2:6" x14ac:dyDescent="0.25">
      <c r="B23" s="170" t="s">
        <v>128</v>
      </c>
      <c r="C23" s="156" t="e">
        <f>C3-E16</f>
        <v>#DIV/0!</v>
      </c>
      <c r="D23" s="110">
        <v>4</v>
      </c>
      <c r="E23" s="567">
        <v>12</v>
      </c>
      <c r="F23" s="504" t="e">
        <f>C23/D23*E23</f>
        <v>#DIV/0!</v>
      </c>
    </row>
    <row r="24" spans="2:6" x14ac:dyDescent="0.25">
      <c r="B24" s="27" t="s">
        <v>129</v>
      </c>
      <c r="C24" s="1">
        <f>C4-D20</f>
        <v>0</v>
      </c>
      <c r="D24" s="116">
        <v>1.5</v>
      </c>
      <c r="E24" s="568">
        <v>12</v>
      </c>
      <c r="F24" s="505">
        <f>IF(C24/D24*E24&lt;0,0,C24/D24*E24)</f>
        <v>0</v>
      </c>
    </row>
  </sheetData>
  <mergeCells count="1">
    <mergeCell ref="B10:E10"/>
  </mergeCells>
  <pageMargins left="0.7" right="0.7" top="0.75" bottom="0.75" header="0.3" footer="0.3"/>
  <pageSetup paperSize="9"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5F50AE-D509-48A8-B7A8-30662E5C1BBC}">
  <sheetPr codeName="Blad5">
    <tabColor theme="5" tint="0.59999389629810485"/>
  </sheetPr>
  <dimension ref="A2:G45"/>
  <sheetViews>
    <sheetView topLeftCell="A25" workbookViewId="0">
      <selection activeCell="E38" sqref="E38"/>
    </sheetView>
  </sheetViews>
  <sheetFormatPr defaultRowHeight="15" x14ac:dyDescent="0.25"/>
  <cols>
    <col min="1" max="1" width="55.7109375" bestFit="1" customWidth="1"/>
    <col min="2" max="2" width="31.7109375" bestFit="1" customWidth="1"/>
    <col min="3" max="3" width="24.5703125" bestFit="1" customWidth="1"/>
    <col min="4" max="4" width="19" customWidth="1"/>
    <col min="5" max="5" width="35.85546875" bestFit="1" customWidth="1"/>
    <col min="6" max="6" width="19" customWidth="1"/>
    <col min="7" max="7" width="23.5703125" bestFit="1" customWidth="1"/>
    <col min="8" max="8" width="21" bestFit="1" customWidth="1"/>
    <col min="9" max="9" width="11.28515625" bestFit="1" customWidth="1"/>
  </cols>
  <sheetData>
    <row r="2" spans="1:7" x14ac:dyDescent="0.25">
      <c r="A2" s="82" t="s">
        <v>130</v>
      </c>
      <c r="B2" s="70"/>
      <c r="C2" s="82" t="s">
        <v>131</v>
      </c>
      <c r="D2" s="70"/>
    </row>
    <row r="3" spans="1:7" x14ac:dyDescent="0.25">
      <c r="A3" s="162" t="s">
        <v>132</v>
      </c>
      <c r="B3" s="169" t="e">
        <f>Bedrijfsgegevens!E11/Bedrijfsgegevens!B23</f>
        <v>#DIV/0!</v>
      </c>
      <c r="C3" s="455" t="s">
        <v>133</v>
      </c>
      <c r="D3" s="456" t="e">
        <f>(Bedrijfsgegevens!E11-Transformatieblad!E22)/(Bedrijfsgegevens!B23+Transformatieblad!B16)</f>
        <v>#DIV/0!</v>
      </c>
    </row>
    <row r="4" spans="1:7" x14ac:dyDescent="0.25">
      <c r="A4" s="64" t="s">
        <v>134</v>
      </c>
      <c r="B4" s="170">
        <f>Bedrijfsgegevens!E11/2-Bedrijfsgegevens!B23</f>
        <v>0</v>
      </c>
    </row>
    <row r="5" spans="1:7" x14ac:dyDescent="0.25">
      <c r="A5" s="164" t="s">
        <v>135</v>
      </c>
      <c r="B5" s="27">
        <f>Bedrijfsgegevens!B23*2-Bedrijfsgegevens!E11</f>
        <v>0</v>
      </c>
    </row>
    <row r="6" spans="1:7" x14ac:dyDescent="0.25">
      <c r="A6" s="6"/>
      <c r="B6" s="185"/>
      <c r="C6" s="6"/>
      <c r="D6" s="6"/>
      <c r="E6" s="6"/>
      <c r="F6" s="6"/>
    </row>
    <row r="7" spans="1:7" x14ac:dyDescent="0.25">
      <c r="A7" s="601" t="s">
        <v>136</v>
      </c>
      <c r="B7" s="601"/>
      <c r="C7" s="601"/>
      <c r="D7" s="601"/>
      <c r="E7" s="601"/>
      <c r="F7" s="601"/>
      <c r="G7" s="299"/>
    </row>
    <row r="8" spans="1:7" x14ac:dyDescent="0.25">
      <c r="A8" s="100" t="s">
        <v>137</v>
      </c>
      <c r="B8" s="306" t="s">
        <v>5</v>
      </c>
      <c r="C8" s="100" t="s">
        <v>138</v>
      </c>
      <c r="D8" s="100" t="str">
        <f>IF(A9=Selectievakken!A19,"Financieringsbedrag","Pachtprijs")</f>
        <v>Financieringsbedrag</v>
      </c>
      <c r="E8" s="100" t="str">
        <f>IF(A9=Selectievakken!A19,"Rentepercentage","-")</f>
        <v>Rentepercentage</v>
      </c>
      <c r="F8" s="100" t="str">
        <f>IF(A9=Selectievakken!A19,"Aflossingstermijn &lt; 30","-")</f>
        <v>Aflossingstermijn &lt; 30</v>
      </c>
    </row>
    <row r="9" spans="1:7" x14ac:dyDescent="0.25">
      <c r="A9" s="466" t="s">
        <v>24</v>
      </c>
      <c r="B9" s="531">
        <v>0</v>
      </c>
      <c r="C9" s="492">
        <v>0</v>
      </c>
      <c r="D9" s="532">
        <f>B9*C9</f>
        <v>0</v>
      </c>
      <c r="E9" s="533">
        <v>0.03</v>
      </c>
      <c r="F9" s="490">
        <v>20</v>
      </c>
    </row>
    <row r="10" spans="1:7" x14ac:dyDescent="0.25">
      <c r="A10" s="100"/>
      <c r="B10" s="545" t="s">
        <v>139</v>
      </c>
      <c r="C10" s="546" t="s">
        <v>140</v>
      </c>
      <c r="D10" s="390"/>
      <c r="E10" s="389"/>
      <c r="F10" s="47"/>
    </row>
    <row r="11" spans="1:7" x14ac:dyDescent="0.25">
      <c r="A11" s="47" t="s">
        <v>141</v>
      </c>
      <c r="B11" s="530"/>
      <c r="C11" s="391">
        <f>B11/2</f>
        <v>0</v>
      </c>
      <c r="D11" s="390"/>
      <c r="E11" s="389"/>
      <c r="F11" s="47"/>
    </row>
    <row r="12" spans="1:7" x14ac:dyDescent="0.25">
      <c r="A12" s="537"/>
      <c r="B12" s="542" t="s">
        <v>5</v>
      </c>
      <c r="C12" s="543" t="s">
        <v>138</v>
      </c>
      <c r="D12" s="544" t="s">
        <v>142</v>
      </c>
      <c r="E12" s="389"/>
      <c r="F12" s="47"/>
    </row>
    <row r="13" spans="1:7" x14ac:dyDescent="0.25">
      <c r="A13" s="162" t="s">
        <v>143</v>
      </c>
      <c r="B13" s="526">
        <v>0</v>
      </c>
      <c r="C13" s="527">
        <v>0</v>
      </c>
      <c r="D13" s="463">
        <f>B13*C13</f>
        <v>0</v>
      </c>
      <c r="E13" s="389"/>
      <c r="F13" s="47"/>
    </row>
    <row r="14" spans="1:7" x14ac:dyDescent="0.25">
      <c r="A14" s="64" t="s">
        <v>144</v>
      </c>
      <c r="B14" s="528"/>
      <c r="C14" s="529"/>
      <c r="D14" s="464">
        <f t="shared" ref="D14:D15" si="0">B14*C14</f>
        <v>0</v>
      </c>
      <c r="E14" s="389"/>
      <c r="F14" s="47"/>
    </row>
    <row r="15" spans="1:7" x14ac:dyDescent="0.25">
      <c r="A15" s="64" t="s">
        <v>145</v>
      </c>
      <c r="B15" s="528"/>
      <c r="C15" s="529"/>
      <c r="D15" s="464">
        <f t="shared" si="0"/>
        <v>0</v>
      </c>
      <c r="E15" s="389"/>
      <c r="F15" s="47"/>
    </row>
    <row r="16" spans="1:7" x14ac:dyDescent="0.25">
      <c r="A16" s="461" t="s">
        <v>8</v>
      </c>
      <c r="B16" s="462">
        <f>B9+C11+SUM(B13:B15)</f>
        <v>0</v>
      </c>
      <c r="C16" s="1"/>
      <c r="D16" s="465">
        <f>SUM(D13:D15)</f>
        <v>0</v>
      </c>
      <c r="E16" s="6"/>
      <c r="F16" s="6"/>
    </row>
    <row r="17" spans="1:6" x14ac:dyDescent="0.25">
      <c r="A17" s="47"/>
      <c r="B17" s="184"/>
      <c r="C17" s="298"/>
      <c r="D17" s="297"/>
      <c r="E17" s="297"/>
      <c r="F17" s="6"/>
    </row>
    <row r="18" spans="1:6" x14ac:dyDescent="0.25">
      <c r="A18" s="153" t="s">
        <v>146</v>
      </c>
      <c r="B18" s="82" t="s">
        <v>147</v>
      </c>
      <c r="C18" s="132" t="s">
        <v>148</v>
      </c>
      <c r="D18" s="82" t="s">
        <v>7</v>
      </c>
      <c r="E18" s="154" t="s">
        <v>149</v>
      </c>
      <c r="F18" s="82" t="s">
        <v>150</v>
      </c>
    </row>
    <row r="19" spans="1:6" x14ac:dyDescent="0.25">
      <c r="A19" s="64" t="s">
        <v>9</v>
      </c>
      <c r="B19" s="474">
        <v>0</v>
      </c>
      <c r="C19" s="156">
        <f>Bedrijfsgegevens!B7</f>
        <v>0</v>
      </c>
      <c r="D19" s="170">
        <v>1</v>
      </c>
      <c r="E19" s="112">
        <f>B19*D19</f>
        <v>0</v>
      </c>
      <c r="F19" s="301" t="e">
        <f>VLOOKUP(Bedrijfsgegevens!B14,Selectievakken!A32:B53,2,1)*B19</f>
        <v>#N/A</v>
      </c>
    </row>
    <row r="20" spans="1:6" x14ac:dyDescent="0.25">
      <c r="A20" s="64" t="s">
        <v>10</v>
      </c>
      <c r="B20" s="474">
        <v>0</v>
      </c>
      <c r="C20" s="156">
        <f>Bedrijfsgegevens!B8</f>
        <v>0</v>
      </c>
      <c r="D20" s="170">
        <v>0.23</v>
      </c>
      <c r="E20" s="112">
        <f t="shared" ref="E20:E21" si="1">B20*D20</f>
        <v>0</v>
      </c>
      <c r="F20" s="301">
        <f>9.1*B20</f>
        <v>0</v>
      </c>
    </row>
    <row r="21" spans="1:6" x14ac:dyDescent="0.25">
      <c r="A21" s="64" t="s">
        <v>11</v>
      </c>
      <c r="B21" s="474">
        <v>0</v>
      </c>
      <c r="C21" s="156">
        <f>Bedrijfsgegevens!B9</f>
        <v>0</v>
      </c>
      <c r="D21" s="170">
        <v>0.53</v>
      </c>
      <c r="E21" s="112">
        <f t="shared" si="1"/>
        <v>0</v>
      </c>
      <c r="F21" s="301">
        <f>21.9*B21</f>
        <v>0</v>
      </c>
    </row>
    <row r="22" spans="1:6" x14ac:dyDescent="0.25">
      <c r="A22" s="164" t="s">
        <v>151</v>
      </c>
      <c r="B22" s="27"/>
      <c r="C22" s="1"/>
      <c r="D22" s="27"/>
      <c r="E22" s="303">
        <f>SUM(E19:E21)</f>
        <v>0</v>
      </c>
      <c r="F22" s="466" t="e">
        <f>SUM(F19:F21)</f>
        <v>#N/A</v>
      </c>
    </row>
    <row r="23" spans="1:6" ht="15.75" thickBot="1" x14ac:dyDescent="0.3">
      <c r="A23" s="47"/>
      <c r="B23" s="156"/>
      <c r="C23" s="156"/>
      <c r="D23" s="156"/>
      <c r="E23" s="470"/>
      <c r="F23" s="47"/>
    </row>
    <row r="24" spans="1:6" x14ac:dyDescent="0.25">
      <c r="A24" s="47"/>
      <c r="B24" s="184"/>
      <c r="C24" s="298"/>
      <c r="D24" s="297"/>
      <c r="E24" s="471" t="s">
        <v>152</v>
      </c>
      <c r="F24" s="489">
        <v>137</v>
      </c>
    </row>
    <row r="25" spans="1:6" ht="15.75" thickBot="1" x14ac:dyDescent="0.3">
      <c r="A25" s="47"/>
      <c r="B25" s="184"/>
      <c r="C25" s="298"/>
      <c r="D25" s="297"/>
      <c r="E25" s="539" t="s">
        <v>153</v>
      </c>
      <c r="F25" s="472" t="e">
        <f>F22*F24</f>
        <v>#N/A</v>
      </c>
    </row>
    <row r="26" spans="1:6" x14ac:dyDescent="0.25">
      <c r="A26" s="601" t="s">
        <v>461</v>
      </c>
      <c r="B26" s="601"/>
      <c r="C26" s="601"/>
      <c r="D26" s="601"/>
      <c r="E26" s="601"/>
      <c r="F26" s="6"/>
    </row>
    <row r="27" spans="1:6" x14ac:dyDescent="0.25">
      <c r="A27" s="22"/>
      <c r="B27" s="454" t="s">
        <v>154</v>
      </c>
      <c r="C27" s="152" t="s">
        <v>155</v>
      </c>
      <c r="D27" s="152" t="s">
        <v>127</v>
      </c>
      <c r="E27" s="154" t="s">
        <v>8</v>
      </c>
      <c r="F27" s="6"/>
    </row>
    <row r="28" spans="1:6" x14ac:dyDescent="0.25">
      <c r="A28" s="300" t="s">
        <v>156</v>
      </c>
      <c r="B28" s="572"/>
      <c r="C28" s="459">
        <v>90</v>
      </c>
      <c r="D28" s="487"/>
      <c r="E28" s="457">
        <f>(C28-D28)*B28</f>
        <v>0</v>
      </c>
      <c r="F28" s="6"/>
    </row>
    <row r="29" spans="1:6" x14ac:dyDescent="0.25">
      <c r="A29" s="301" t="s">
        <v>157</v>
      </c>
      <c r="B29" s="486"/>
      <c r="C29" s="460">
        <v>120</v>
      </c>
      <c r="D29" s="488"/>
      <c r="E29" s="458">
        <f t="shared" ref="E29:E31" si="2">(C29-D29)*B29</f>
        <v>0</v>
      </c>
      <c r="F29" s="6"/>
    </row>
    <row r="30" spans="1:6" x14ac:dyDescent="0.25">
      <c r="A30" s="301" t="s">
        <v>158</v>
      </c>
      <c r="B30" s="486"/>
      <c r="C30" s="460">
        <v>40.28</v>
      </c>
      <c r="D30" s="488"/>
      <c r="E30" s="458">
        <f t="shared" si="2"/>
        <v>0</v>
      </c>
      <c r="F30" s="6"/>
    </row>
    <row r="31" spans="1:6" x14ac:dyDescent="0.25">
      <c r="A31" s="301" t="s">
        <v>159</v>
      </c>
      <c r="B31" s="573"/>
      <c r="C31" s="460">
        <v>1</v>
      </c>
      <c r="D31" s="488"/>
      <c r="E31" s="458">
        <f t="shared" si="2"/>
        <v>0</v>
      </c>
      <c r="F31" s="6"/>
    </row>
    <row r="32" spans="1:6" x14ac:dyDescent="0.25">
      <c r="A32" s="101" t="s">
        <v>8</v>
      </c>
      <c r="B32" s="540"/>
      <c r="C32" s="466"/>
      <c r="D32" s="466"/>
      <c r="E32" s="468">
        <f>SUM(E28:E31)</f>
        <v>0</v>
      </c>
      <c r="F32" s="6"/>
    </row>
    <row r="33" spans="1:6" x14ac:dyDescent="0.25">
      <c r="A33" s="183"/>
      <c r="B33" s="184"/>
      <c r="C33" s="6"/>
      <c r="D33" s="6"/>
      <c r="E33" s="6"/>
      <c r="F33" s="6"/>
    </row>
    <row r="34" spans="1:6" x14ac:dyDescent="0.25">
      <c r="A34" s="601" t="s">
        <v>458</v>
      </c>
      <c r="B34" s="601"/>
      <c r="C34" s="601"/>
      <c r="D34" s="601"/>
      <c r="E34" s="601"/>
      <c r="F34" s="6"/>
    </row>
    <row r="35" spans="1:6" x14ac:dyDescent="0.25">
      <c r="A35" s="99"/>
      <c r="B35" s="306" t="s">
        <v>69</v>
      </c>
      <c r="C35" s="100" t="s">
        <v>160</v>
      </c>
      <c r="D35" s="100" t="s">
        <v>28</v>
      </c>
      <c r="E35" s="100" t="s">
        <v>161</v>
      </c>
      <c r="F35" s="6"/>
    </row>
    <row r="36" spans="1:6" x14ac:dyDescent="0.25">
      <c r="A36" s="466" t="s">
        <v>162</v>
      </c>
      <c r="B36" s="467">
        <f>Bedrijfsgegevens!B23+Transformatieblad!B16</f>
        <v>0</v>
      </c>
      <c r="C36" s="534">
        <v>10</v>
      </c>
      <c r="D36" s="534">
        <v>83</v>
      </c>
      <c r="E36" s="534">
        <f>D36*B36</f>
        <v>0</v>
      </c>
      <c r="F36" s="6"/>
    </row>
    <row r="37" spans="1:6" x14ac:dyDescent="0.25">
      <c r="A37" s="6"/>
      <c r="B37" s="185"/>
      <c r="C37" s="6"/>
      <c r="D37" s="6"/>
      <c r="E37" s="6"/>
      <c r="F37" s="6"/>
    </row>
    <row r="38" spans="1:6" x14ac:dyDescent="0.25">
      <c r="A38" s="100" t="s">
        <v>163</v>
      </c>
      <c r="B38" s="538"/>
      <c r="C38" s="6"/>
      <c r="D38" s="6"/>
      <c r="E38" s="6"/>
      <c r="F38" s="6"/>
    </row>
    <row r="39" spans="1:6" x14ac:dyDescent="0.25">
      <c r="A39" s="535" t="s">
        <v>459</v>
      </c>
      <c r="B39" s="490" t="s">
        <v>164</v>
      </c>
      <c r="C39" s="6"/>
      <c r="D39" s="6"/>
      <c r="E39" s="6"/>
      <c r="F39" s="187"/>
    </row>
    <row r="40" spans="1:6" x14ac:dyDescent="0.25">
      <c r="A40" s="536" t="s">
        <v>460</v>
      </c>
      <c r="C40" s="6"/>
      <c r="D40" s="6"/>
      <c r="E40" s="6"/>
      <c r="F40" s="6"/>
    </row>
    <row r="41" spans="1:6" x14ac:dyDescent="0.25">
      <c r="A41" s="100" t="s">
        <v>165</v>
      </c>
      <c r="B41" s="306" t="s">
        <v>166</v>
      </c>
      <c r="C41" s="100" t="s">
        <v>167</v>
      </c>
      <c r="D41" s="100" t="s">
        <v>168</v>
      </c>
      <c r="E41" s="6"/>
      <c r="F41" s="6"/>
    </row>
    <row r="42" spans="1:6" x14ac:dyDescent="0.25">
      <c r="A42" s="490" t="s">
        <v>169</v>
      </c>
      <c r="B42" s="467">
        <f>VLOOKUP(A42,Selectievakken!A26:B29,2,0)</f>
        <v>405</v>
      </c>
      <c r="C42" s="490">
        <v>0</v>
      </c>
      <c r="D42" s="468">
        <f>IF(B39=Selectievakken!A15,0,B42*C42)</f>
        <v>0</v>
      </c>
      <c r="E42" s="6"/>
      <c r="F42" s="6"/>
    </row>
    <row r="43" spans="1:6" x14ac:dyDescent="0.25">
      <c r="A43" s="6"/>
      <c r="B43" s="185"/>
      <c r="C43" s="6"/>
      <c r="D43" s="6"/>
      <c r="E43" s="6"/>
      <c r="F43" s="6"/>
    </row>
    <row r="44" spans="1:6" x14ac:dyDescent="0.25">
      <c r="A44" s="6"/>
      <c r="B44" s="111"/>
      <c r="C44" s="6"/>
      <c r="D44" s="6"/>
      <c r="E44" s="6"/>
      <c r="F44" s="6"/>
    </row>
    <row r="45" spans="1:6" x14ac:dyDescent="0.25">
      <c r="A45" s="188"/>
      <c r="B45" s="189"/>
    </row>
  </sheetData>
  <mergeCells count="3">
    <mergeCell ref="A7:F7"/>
    <mergeCell ref="A34:E34"/>
    <mergeCell ref="A26:E26"/>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58141060-CB12-4803-9174-FAC804A13E2B}">
          <x14:formula1>
            <xm:f>Selectievakken!$A$26:$A$29</xm:f>
          </x14:formula1>
          <xm:sqref>A42</xm:sqref>
        </x14:dataValidation>
        <x14:dataValidation type="list" allowBlank="1" showInputMessage="1" showErrorMessage="1" xr:uid="{72B6212F-BF15-4AF8-8156-3F291877C8C9}">
          <x14:formula1>
            <xm:f>Selectievakken!$A$15:$A$16</xm:f>
          </x14:formula1>
          <xm:sqref>B39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204DC-C85A-4931-912C-05FD255CCE7E}">
  <sheetPr codeName="Blad6">
    <tabColor theme="5" tint="0.59999389629810485"/>
  </sheetPr>
  <dimension ref="A1:N79"/>
  <sheetViews>
    <sheetView zoomScale="85" zoomScaleNormal="85" workbookViewId="0">
      <pane ySplit="5" topLeftCell="A9" activePane="bottomLeft" state="frozen"/>
      <selection pane="bottomLeft" activeCell="R29" sqref="R29"/>
    </sheetView>
  </sheetViews>
  <sheetFormatPr defaultRowHeight="15" x14ac:dyDescent="0.25"/>
  <cols>
    <col min="1" max="1" width="58.7109375" bestFit="1" customWidth="1"/>
    <col min="2" max="2" width="10.7109375" customWidth="1"/>
    <col min="3" max="3" width="11.28515625" bestFit="1" customWidth="1"/>
    <col min="4" max="4" width="9.42578125" bestFit="1" customWidth="1"/>
    <col min="6" max="6" width="18" bestFit="1" customWidth="1"/>
    <col min="7" max="7" width="14.7109375" bestFit="1" customWidth="1"/>
    <col min="8" max="8" width="11.42578125" bestFit="1" customWidth="1"/>
    <col min="9" max="9" width="14.140625" bestFit="1" customWidth="1"/>
    <col min="11" max="11" width="9.85546875" customWidth="1"/>
  </cols>
  <sheetData>
    <row r="1" spans="1:14" x14ac:dyDescent="0.25">
      <c r="A1" s="2"/>
      <c r="K1" s="34"/>
    </row>
    <row r="2" spans="1:14" x14ac:dyDescent="0.25">
      <c r="A2" s="11" t="s">
        <v>170</v>
      </c>
      <c r="B2" s="12"/>
      <c r="F2" s="602" t="s">
        <v>171</v>
      </c>
      <c r="G2" s="603"/>
      <c r="H2" s="603"/>
      <c r="I2" s="604"/>
      <c r="J2" s="10"/>
    </row>
    <row r="3" spans="1:14" x14ac:dyDescent="0.25">
      <c r="A3" s="13" t="s">
        <v>172</v>
      </c>
      <c r="B3" s="14" t="s">
        <v>173</v>
      </c>
      <c r="F3" s="10"/>
      <c r="G3" s="10"/>
      <c r="H3" s="10"/>
      <c r="I3" s="10"/>
    </row>
    <row r="4" spans="1:14" x14ac:dyDescent="0.25">
      <c r="F4" s="10"/>
      <c r="G4" s="10"/>
      <c r="H4" s="10"/>
      <c r="I4" s="10"/>
    </row>
    <row r="5" spans="1:14" x14ac:dyDescent="0.25">
      <c r="A5" s="15" t="s">
        <v>174</v>
      </c>
      <c r="B5" s="16"/>
      <c r="C5" s="2" t="s">
        <v>175</v>
      </c>
      <c r="D5" s="387" t="s">
        <v>5</v>
      </c>
      <c r="E5" s="2" t="s">
        <v>176</v>
      </c>
      <c r="F5" s="388" t="s">
        <v>177</v>
      </c>
      <c r="G5" s="388" t="s">
        <v>178</v>
      </c>
      <c r="H5" s="388" t="s">
        <v>179</v>
      </c>
      <c r="I5" s="388" t="s">
        <v>180</v>
      </c>
    </row>
    <row r="6" spans="1:14" x14ac:dyDescent="0.25">
      <c r="A6" s="394" t="s">
        <v>181</v>
      </c>
      <c r="B6" s="19" t="s">
        <v>164</v>
      </c>
      <c r="D6" s="17">
        <v>1</v>
      </c>
      <c r="E6" t="str">
        <f>VLOOKUP(A6,'Toelichting maatregelen'!B11:G100,3,0)</f>
        <v>Totaal</v>
      </c>
      <c r="F6" s="323">
        <f>VLOOKUP(A6,'Toelichting maatregelen'!B11:G100,4,0)</f>
        <v>0</v>
      </c>
      <c r="G6" s="323">
        <f>VLOOKUP(A6,'Toelichting maatregelen'!B11:G100,5,0)</f>
        <v>1400</v>
      </c>
      <c r="H6" s="323">
        <f>VLOOKUP(A6,'Toelichting maatregelen'!B11:G100,6,0)</f>
        <v>-1400</v>
      </c>
      <c r="I6" s="20">
        <f>IF(B6=Selectievakken!$A$15,D6*H6,0)</f>
        <v>0</v>
      </c>
    </row>
    <row r="7" spans="1:14" x14ac:dyDescent="0.25">
      <c r="A7" s="18" t="s">
        <v>182</v>
      </c>
      <c r="B7" s="19" t="s">
        <v>164</v>
      </c>
      <c r="D7" s="17"/>
      <c r="E7" t="str">
        <f>VLOOKUP(A7,'Toelichting maatregelen'!B12:G100,3,0)</f>
        <v>Ha</v>
      </c>
      <c r="F7" s="323" t="str">
        <f>VLOOKUP(A7,'Toelichting maatregelen'!B12:G100,4,0)</f>
        <v>n.n.b.</v>
      </c>
      <c r="G7" s="323" t="str">
        <f>VLOOKUP(A7,'Toelichting maatregelen'!B12:G100,5,0)</f>
        <v>n.n.b.</v>
      </c>
      <c r="H7" s="323"/>
      <c r="I7" s="20">
        <f>IF(B7=Selectievakken!$A$15,D7*H7,0)</f>
        <v>0</v>
      </c>
    </row>
    <row r="8" spans="1:14" x14ac:dyDescent="0.25">
      <c r="A8" s="18" t="s">
        <v>183</v>
      </c>
      <c r="B8" s="19" t="s">
        <v>164</v>
      </c>
      <c r="D8" s="17"/>
      <c r="E8" t="str">
        <f>VLOOKUP(A8,'Toelichting maatregelen'!B13:G101,3,0)</f>
        <v>Ha</v>
      </c>
      <c r="F8" s="323">
        <f>VLOOKUP(A8,'Toelichting maatregelen'!B13:G101,4,0)</f>
        <v>0</v>
      </c>
      <c r="G8" s="323">
        <f>VLOOKUP(A8,'Toelichting maatregelen'!B13:G101,5,0)</f>
        <v>0</v>
      </c>
      <c r="H8" s="323">
        <f>VLOOKUP(A8,'Toelichting maatregelen'!B13:G101,6,0)</f>
        <v>0</v>
      </c>
      <c r="I8" s="20">
        <f>IF(B8=Selectievakken!$A$15,D8*H8,0)</f>
        <v>0</v>
      </c>
    </row>
    <row r="9" spans="1:14" x14ac:dyDescent="0.25">
      <c r="A9" s="18" t="s">
        <v>184</v>
      </c>
      <c r="B9" s="19" t="s">
        <v>164</v>
      </c>
      <c r="D9" s="17"/>
      <c r="E9" t="str">
        <f>VLOOKUP(A9,'Toelichting maatregelen'!B14:G102,3,0)</f>
        <v>Ha</v>
      </c>
      <c r="F9" s="323" t="str">
        <f>VLOOKUP(A9,'Toelichting maatregelen'!B14:G102,4,0)</f>
        <v>n.n.b.</v>
      </c>
      <c r="G9" s="323" t="str">
        <f>VLOOKUP(A9,'Toelichting maatregelen'!B14:G102,5,0)</f>
        <v>n.n.b.</v>
      </c>
      <c r="H9" s="323" t="str">
        <f>VLOOKUP(A9,'Toelichting maatregelen'!B14:G102,6,0)</f>
        <v>n.n.b.</v>
      </c>
      <c r="I9" s="20">
        <v>0</v>
      </c>
    </row>
    <row r="10" spans="1:14" x14ac:dyDescent="0.25">
      <c r="A10" s="18" t="s">
        <v>185</v>
      </c>
      <c r="B10" s="19" t="s">
        <v>164</v>
      </c>
      <c r="D10" s="17"/>
      <c r="E10" t="str">
        <f>VLOOKUP(A10,'Toelichting maatregelen'!B15:G103,3,0)</f>
        <v>Ha</v>
      </c>
      <c r="F10" s="323">
        <f>VLOOKUP(A10,'Toelichting maatregelen'!B15:G103,4,0)</f>
        <v>0</v>
      </c>
      <c r="G10" s="323">
        <f>VLOOKUP(A10,'Toelichting maatregelen'!B15:G103,5,0)</f>
        <v>0</v>
      </c>
      <c r="H10" s="323">
        <f>VLOOKUP(A10,'Toelichting maatregelen'!B15:G103,6,0)</f>
        <v>0</v>
      </c>
      <c r="I10" s="20">
        <f>IF(B10=Selectievakken!$A$15,D10*H10,0)</f>
        <v>0</v>
      </c>
    </row>
    <row r="11" spans="1:14" x14ac:dyDescent="0.25">
      <c r="A11" s="18" t="s">
        <v>186</v>
      </c>
      <c r="B11" s="19" t="s">
        <v>164</v>
      </c>
      <c r="D11" s="17"/>
      <c r="E11" t="str">
        <f>VLOOKUP(A11,'Toelichting maatregelen'!B16:G104,3,0)</f>
        <v>Ha</v>
      </c>
      <c r="F11" s="323" t="str">
        <f>VLOOKUP(A11,'Toelichting maatregelen'!B16:G104,4,0)</f>
        <v>n.n.b.</v>
      </c>
      <c r="G11" s="323" t="str">
        <f>VLOOKUP(A11,'Toelichting maatregelen'!B16:G104,5,0)</f>
        <v>n.n.b.</v>
      </c>
      <c r="H11" s="323" t="str">
        <f>VLOOKUP(A11,'Toelichting maatregelen'!B16:G104,6,0)</f>
        <v>n.n.b.</v>
      </c>
      <c r="I11" s="20">
        <f>IF(B11=Selectievakken!$A$15,D11*H11,0)</f>
        <v>0</v>
      </c>
    </row>
    <row r="12" spans="1:14" x14ac:dyDescent="0.25">
      <c r="A12" s="18" t="s">
        <v>187</v>
      </c>
      <c r="B12" s="19" t="s">
        <v>164</v>
      </c>
      <c r="D12" s="17"/>
      <c r="E12" t="str">
        <f>VLOOKUP(A12,'Toelichting maatregelen'!B17:G105,3,0)</f>
        <v>Ha</v>
      </c>
      <c r="F12" s="323">
        <f>VLOOKUP(A12,'Toelichting maatregelen'!B17:G105,4,0)</f>
        <v>0</v>
      </c>
      <c r="G12" s="323">
        <f>VLOOKUP(A12,'Toelichting maatregelen'!B17:G105,5,0)</f>
        <v>-63</v>
      </c>
      <c r="H12" s="323">
        <f>VLOOKUP(A12,'Toelichting maatregelen'!B17:G105,6,0)</f>
        <v>63</v>
      </c>
      <c r="I12" s="20">
        <f>IF(B12=Selectievakken!$A$15,D12*H12,0)</f>
        <v>0</v>
      </c>
    </row>
    <row r="13" spans="1:14" x14ac:dyDescent="0.25">
      <c r="A13" s="18" t="s">
        <v>188</v>
      </c>
      <c r="B13" s="19" t="s">
        <v>164</v>
      </c>
      <c r="C13" s="404" t="s">
        <v>91</v>
      </c>
      <c r="D13" s="17"/>
      <c r="E13" t="s">
        <v>189</v>
      </c>
      <c r="F13" s="323">
        <f>VLOOKUP(C13,'Toelichting maatregelen'!C53:G56,3,1)</f>
        <v>1401</v>
      </c>
      <c r="G13" s="323">
        <f>VLOOKUP(C13,'Toelichting maatregelen'!C53:G56,4,1)</f>
        <v>1310</v>
      </c>
      <c r="H13" s="323">
        <f>F13-G13</f>
        <v>91</v>
      </c>
      <c r="I13" s="20">
        <f>IF(B13=Selectievakken!$A$15,D13*H13,0)</f>
        <v>0</v>
      </c>
    </row>
    <row r="14" spans="1:14" x14ac:dyDescent="0.25">
      <c r="A14" s="18" t="s">
        <v>190</v>
      </c>
      <c r="B14" s="19" t="s">
        <v>164</v>
      </c>
      <c r="D14" s="17"/>
      <c r="E14" t="str">
        <f>VLOOKUP(A14,'Toelichting maatregelen'!B19:G107,3,0)</f>
        <v>Ha</v>
      </c>
      <c r="F14" s="323" t="str">
        <f>VLOOKUP(A14,'Toelichting maatregelen'!B19:G107,4,0)</f>
        <v>n.n.b.</v>
      </c>
      <c r="G14" s="323" t="str">
        <f>VLOOKUP(A14,'Toelichting maatregelen'!B19:G107,5,0)</f>
        <v>n.n.b.</v>
      </c>
      <c r="H14" s="323" t="str">
        <f>VLOOKUP(A14,'Toelichting maatregelen'!B19:G107,6,0)</f>
        <v>n.n.b.</v>
      </c>
      <c r="I14" s="20">
        <v>0</v>
      </c>
    </row>
    <row r="15" spans="1:14" x14ac:dyDescent="0.25">
      <c r="A15" s="41" t="s">
        <v>191</v>
      </c>
      <c r="B15" s="19" t="s">
        <v>164</v>
      </c>
      <c r="D15" s="17"/>
      <c r="E15" t="str">
        <f>VLOOKUP(A15,'Toelichting maatregelen'!B20:G108,3,0)</f>
        <v>Ha</v>
      </c>
      <c r="F15" s="323">
        <f>VLOOKUP(A15,'Toelichting maatregelen'!B20:G108,4,0)</f>
        <v>0</v>
      </c>
      <c r="G15" s="323">
        <f>VLOOKUP(A15,'Toelichting maatregelen'!B20:G108,5,0)</f>
        <v>0</v>
      </c>
      <c r="H15" s="323">
        <f>VLOOKUP(A15,'Toelichting maatregelen'!B20:G108,6,0)</f>
        <v>528</v>
      </c>
      <c r="I15" s="20">
        <f>IF(B15=Selectievakken!$A$15,D15*H15,0)</f>
        <v>0</v>
      </c>
    </row>
    <row r="16" spans="1:14" x14ac:dyDescent="0.25">
      <c r="A16" s="18" t="s">
        <v>192</v>
      </c>
      <c r="B16" s="19" t="s">
        <v>164</v>
      </c>
      <c r="D16" s="17">
        <v>7</v>
      </c>
      <c r="E16" t="str">
        <f>VLOOKUP(A16,'Toelichting maatregelen'!B21:G109,3,0)</f>
        <v>Ha</v>
      </c>
      <c r="F16" s="323">
        <f>VLOOKUP(A16,'Toelichting maatregelen'!B21:G109,4,0)</f>
        <v>139.19999999999999</v>
      </c>
      <c r="G16" s="323">
        <f>VLOOKUP(A16,'Toelichting maatregelen'!B21:G109,5,0)</f>
        <v>114.84</v>
      </c>
      <c r="H16" s="323">
        <f>VLOOKUP(A16,'Toelichting maatregelen'!B21:G109,6,0)</f>
        <v>24.359999999999985</v>
      </c>
      <c r="I16" s="20">
        <f>IF(B16=Selectievakken!$A$15,D16*H16,0)</f>
        <v>0</v>
      </c>
      <c r="N16">
        <f>3-6</f>
        <v>-3</v>
      </c>
    </row>
    <row r="17" spans="1:9" x14ac:dyDescent="0.25">
      <c r="A17" s="42" t="s">
        <v>193</v>
      </c>
      <c r="B17" s="19" t="s">
        <v>164</v>
      </c>
      <c r="D17" s="17"/>
      <c r="E17" t="str">
        <f>VLOOKUP(A17,'Toelichting maatregelen'!B22:G110,3,0)</f>
        <v>-</v>
      </c>
      <c r="F17" s="323" t="str">
        <f>VLOOKUP(A17,'Toelichting maatregelen'!B22:G110,4,0)</f>
        <v>n.n.b.</v>
      </c>
      <c r="G17" s="323" t="str">
        <f>VLOOKUP(A17,'Toelichting maatregelen'!B22:G110,5,0)</f>
        <v>n.n.b.</v>
      </c>
      <c r="H17" s="323" t="str">
        <f>VLOOKUP(A17,'Toelichting maatregelen'!B22:G110,6,0)</f>
        <v>n.n.b.</v>
      </c>
      <c r="I17" s="20">
        <v>0</v>
      </c>
    </row>
    <row r="18" spans="1:9" x14ac:dyDescent="0.25">
      <c r="A18" s="18" t="s">
        <v>194</v>
      </c>
      <c r="B18" s="19" t="s">
        <v>164</v>
      </c>
      <c r="D18" s="17">
        <v>7</v>
      </c>
      <c r="E18" t="str">
        <f>VLOOKUP(A18,'Toelichting maatregelen'!B23:G111,3,0)</f>
        <v>Ha</v>
      </c>
      <c r="F18" s="323">
        <f>VLOOKUP(A18,'Toelichting maatregelen'!B23:G111,4,0)</f>
        <v>111.42207999999999</v>
      </c>
      <c r="G18" s="323">
        <f>VLOOKUP(A18,'Toelichting maatregelen'!B23:G111,5,0)</f>
        <v>154</v>
      </c>
      <c r="H18" s="323">
        <f>VLOOKUP(A18,'Toelichting maatregelen'!B23:G111,6,0)</f>
        <v>-42.577920000000006</v>
      </c>
      <c r="I18" s="20">
        <f>IF(B18=Selectievakken!$A$15,D18*H18,0)</f>
        <v>0</v>
      </c>
    </row>
    <row r="19" spans="1:9" x14ac:dyDescent="0.25">
      <c r="A19" s="381" t="s">
        <v>195</v>
      </c>
      <c r="B19" s="19" t="s">
        <v>164</v>
      </c>
      <c r="D19" s="17"/>
      <c r="E19" t="str">
        <f>VLOOKUP(A19,'Toelichting maatregelen'!B24:G112,3,0)</f>
        <v>Ha</v>
      </c>
      <c r="F19" s="323">
        <f>VLOOKUP(A19,'Toelichting maatregelen'!B24:G112,4,0)</f>
        <v>0</v>
      </c>
      <c r="G19" s="323">
        <f>VLOOKUP(A19,'Toelichting maatregelen'!B24:G112,5,0)</f>
        <v>0</v>
      </c>
      <c r="H19" s="323">
        <f>VLOOKUP(A19,'Toelichting maatregelen'!B24:G112,6,0)</f>
        <v>0</v>
      </c>
      <c r="I19" s="20">
        <f>IF(B19=Selectievakken!$A$15,D19*H19,0)</f>
        <v>0</v>
      </c>
    </row>
    <row r="20" spans="1:9" x14ac:dyDescent="0.25">
      <c r="A20" s="42" t="s">
        <v>196</v>
      </c>
      <c r="B20" s="19" t="s">
        <v>164</v>
      </c>
      <c r="D20" s="17"/>
      <c r="E20" t="str">
        <f>VLOOKUP(A20,'Toelichting maatregelen'!B25:G113,3,0)</f>
        <v>Ha</v>
      </c>
      <c r="F20" s="323" t="str">
        <f>VLOOKUP(A20,'Toelichting maatregelen'!B25:G113,4,0)</f>
        <v>n.n.b.</v>
      </c>
      <c r="G20" s="323" t="str">
        <f>VLOOKUP(A20,'Toelichting maatregelen'!B25:G113,5,0)</f>
        <v>n.n.b.</v>
      </c>
      <c r="H20" s="323" t="str">
        <f>VLOOKUP(A20,'Toelichting maatregelen'!B25:G113,6,0)</f>
        <v>n.n.b.</v>
      </c>
      <c r="I20" s="20">
        <v>0</v>
      </c>
    </row>
    <row r="21" spans="1:9" x14ac:dyDescent="0.25">
      <c r="F21" s="17"/>
      <c r="G21" s="17"/>
      <c r="H21" s="17"/>
      <c r="I21" s="20"/>
    </row>
    <row r="22" spans="1:9" x14ac:dyDescent="0.25">
      <c r="A22" s="22" t="s">
        <v>197</v>
      </c>
      <c r="B22" s="23"/>
      <c r="D22" s="17" t="s">
        <v>5</v>
      </c>
      <c r="E22" t="s">
        <v>154</v>
      </c>
      <c r="F22" s="17"/>
      <c r="G22" s="17"/>
      <c r="H22" s="17"/>
      <c r="I22" s="20"/>
    </row>
    <row r="23" spans="1:9" x14ac:dyDescent="0.25">
      <c r="A23" s="24" t="s">
        <v>198</v>
      </c>
      <c r="B23" s="25" t="s">
        <v>164</v>
      </c>
      <c r="D23" s="17">
        <v>3000</v>
      </c>
      <c r="E23" t="s">
        <v>199</v>
      </c>
      <c r="F23" s="323">
        <f>VLOOKUP(A23,'Toelichting maatregelen'!B103:G230,4,0)</f>
        <v>2142</v>
      </c>
      <c r="G23" s="323">
        <f>VLOOKUP(A23,'Toelichting maatregelen'!B103:G230,5,0)</f>
        <v>1884</v>
      </c>
      <c r="H23" s="323">
        <f>VLOOKUP(A23,'Toelichting maatregelen'!B103:G230,6,0)</f>
        <v>258</v>
      </c>
      <c r="I23" s="20">
        <f>IF(B23=Selectievakken!$A$15,D23*H23/10000,0)</f>
        <v>0</v>
      </c>
    </row>
    <row r="24" spans="1:9" x14ac:dyDescent="0.25">
      <c r="A24" s="24" t="s">
        <v>200</v>
      </c>
      <c r="B24" s="25" t="s">
        <v>201</v>
      </c>
      <c r="D24" s="17">
        <v>50</v>
      </c>
      <c r="E24" t="str">
        <f>VLOOKUP(A24,'Toelichting maatregelen'!B104:G231,3,0)</f>
        <v>meter</v>
      </c>
      <c r="F24" s="323">
        <f>VLOOKUP(A24,'Toelichting maatregelen'!B104:G231,4,0)</f>
        <v>10</v>
      </c>
      <c r="G24" s="323">
        <f>VLOOKUP(A24,'Toelichting maatregelen'!B104:G231,5,0)</f>
        <v>317</v>
      </c>
      <c r="H24" s="323">
        <f>-G24+F24*D24</f>
        <v>183</v>
      </c>
      <c r="I24" s="20">
        <f>IF(B24=Selectievakken!$A$15,H24,0)</f>
        <v>183</v>
      </c>
    </row>
    <row r="25" spans="1:9" x14ac:dyDescent="0.25">
      <c r="A25" s="43" t="s">
        <v>202</v>
      </c>
      <c r="B25" s="25" t="s">
        <v>201</v>
      </c>
      <c r="D25" s="17">
        <v>7</v>
      </c>
      <c r="E25" t="s">
        <v>203</v>
      </c>
      <c r="F25" s="323">
        <f>VLOOKUP(A25,'Toelichting maatregelen'!B106:G233,4,0)</f>
        <v>0</v>
      </c>
      <c r="G25" s="323">
        <f>VLOOKUP(A25,'Toelichting maatregelen'!B106:G233,5,0)</f>
        <v>10</v>
      </c>
      <c r="H25" s="323">
        <f>VLOOKUP(A25,'Toelichting maatregelen'!B106:G233,6,0)</f>
        <v>-10</v>
      </c>
      <c r="I25" s="20">
        <f>IF(B25=Selectievakken!$A$15,D25*H25,0)</f>
        <v>-70</v>
      </c>
    </row>
    <row r="26" spans="1:9" x14ac:dyDescent="0.25">
      <c r="A26" s="43" t="s">
        <v>204</v>
      </c>
      <c r="B26" s="25" t="s">
        <v>164</v>
      </c>
      <c r="D26" s="17"/>
      <c r="E26" t="str">
        <f>VLOOKUP(A26,'Toelichting maatregelen'!B107:G234,3,0)</f>
        <v>Ha</v>
      </c>
      <c r="F26" s="323" t="str">
        <f>VLOOKUP(A26,'Toelichting maatregelen'!B107:G234,4,0)</f>
        <v>n.n.b</v>
      </c>
      <c r="G26" s="323" t="str">
        <f>VLOOKUP(A26,'Toelichting maatregelen'!B107:G234,5,0)</f>
        <v>n.n.b.</v>
      </c>
      <c r="H26" s="323" t="str">
        <f>VLOOKUP(A26,'Toelichting maatregelen'!B107:G234,6,0)</f>
        <v>n.n.b.</v>
      </c>
      <c r="I26" s="20">
        <f>IF(B26=Selectievakken!$A$15,D26*H26,0)</f>
        <v>0</v>
      </c>
    </row>
    <row r="27" spans="1:9" x14ac:dyDescent="0.25">
      <c r="A27" s="24" t="s">
        <v>205</v>
      </c>
      <c r="B27" s="25" t="s">
        <v>164</v>
      </c>
      <c r="D27" s="17"/>
      <c r="E27">
        <f>VLOOKUP(A27,'Toelichting maatregelen'!B110:G237,3,0)</f>
        <v>0</v>
      </c>
      <c r="F27" s="323" t="str">
        <f>VLOOKUP(A27,'Toelichting maatregelen'!B110:G237,4,0)</f>
        <v>n.n.b.</v>
      </c>
      <c r="G27" s="323" t="str">
        <f>VLOOKUP(A27,'Toelichting maatregelen'!B110:G237,5,0)</f>
        <v>n.n.b.</v>
      </c>
      <c r="H27" s="323" t="str">
        <f>VLOOKUP(A27,'Toelichting maatregelen'!B110:G237,6,0)</f>
        <v>n.n.b.</v>
      </c>
      <c r="I27" s="20">
        <f>IF(B27=Selectievakken!$A$15,D27*H27,0)</f>
        <v>0</v>
      </c>
    </row>
    <row r="28" spans="1:9" x14ac:dyDescent="0.25">
      <c r="A28" s="43" t="s">
        <v>206</v>
      </c>
      <c r="B28" s="25" t="s">
        <v>164</v>
      </c>
      <c r="D28" s="17">
        <v>2</v>
      </c>
      <c r="E28" t="str">
        <f>VLOOKUP(A28,'Toelichting maatregelen'!B112:G239,3,0)</f>
        <v>Ha</v>
      </c>
      <c r="F28" s="323">
        <f>VLOOKUP(A28,'Toelichting maatregelen'!B112:G239,4,0)</f>
        <v>47.5</v>
      </c>
      <c r="G28" s="323">
        <f>VLOOKUP(A28,'Toelichting maatregelen'!B112:G239,5,0)</f>
        <v>120</v>
      </c>
      <c r="H28" s="323">
        <f>VLOOKUP(A28,'Toelichting maatregelen'!B112:G239,6,0)</f>
        <v>-72.5</v>
      </c>
      <c r="I28" s="20">
        <f>IF(B28=Selectievakken!$A$15,D28*H28,0)</f>
        <v>0</v>
      </c>
    </row>
    <row r="29" spans="1:9" x14ac:dyDescent="0.25">
      <c r="A29" s="24" t="s">
        <v>207</v>
      </c>
      <c r="B29" s="25" t="s">
        <v>164</v>
      </c>
      <c r="D29" s="17">
        <v>1</v>
      </c>
      <c r="E29" t="str">
        <f>VLOOKUP(A29,'Toelichting maatregelen'!B113:G240,3,0)</f>
        <v>Ha</v>
      </c>
      <c r="F29" s="323">
        <f>VLOOKUP(A29,'Toelichting maatregelen'!B113:G240,4,0)</f>
        <v>0</v>
      </c>
      <c r="G29" s="323">
        <f>VLOOKUP(A29,'Toelichting maatregelen'!B113:G240,5,0)</f>
        <v>-53</v>
      </c>
      <c r="H29" s="323">
        <f>VLOOKUP(A29,'Toelichting maatregelen'!B113:G240,6,0)</f>
        <v>-53</v>
      </c>
      <c r="I29" s="20">
        <f>IF(B29=Selectievakken!$A$15,D29*H29,0)</f>
        <v>0</v>
      </c>
    </row>
    <row r="30" spans="1:9" x14ac:dyDescent="0.25">
      <c r="A30" s="24" t="s">
        <v>208</v>
      </c>
      <c r="B30" s="25" t="s">
        <v>164</v>
      </c>
      <c r="D30" s="17"/>
      <c r="E30" t="str">
        <f>VLOOKUP(A30,'Toelichting maatregelen'!B114:G241,3,0)</f>
        <v>Ha</v>
      </c>
      <c r="F30" s="323">
        <f>VLOOKUP(A30,'Toelichting maatregelen'!B114:G241,4,0)</f>
        <v>0</v>
      </c>
      <c r="G30" s="323">
        <f>VLOOKUP(A30,'Toelichting maatregelen'!B114:G241,5,0)</f>
        <v>0</v>
      </c>
      <c r="H30" s="323">
        <f>VLOOKUP(A30,'Toelichting maatregelen'!B114:G241,6,0)</f>
        <v>0</v>
      </c>
      <c r="I30" s="20">
        <f>IF(B30=Selectievakken!$A$15,D30*H30,0)</f>
        <v>0</v>
      </c>
    </row>
    <row r="31" spans="1:9" x14ac:dyDescent="0.25">
      <c r="A31" s="24" t="s">
        <v>209</v>
      </c>
      <c r="B31" s="25" t="s">
        <v>164</v>
      </c>
      <c r="D31" s="17"/>
      <c r="E31" t="str">
        <f>'Toelichting maatregelen'!D159</f>
        <v>m3</v>
      </c>
      <c r="F31" s="20">
        <f>'Toelichting maatregelen'!E159</f>
        <v>0</v>
      </c>
      <c r="G31" s="20">
        <f>'Toelichting maatregelen'!F159</f>
        <v>0.59599999999999997</v>
      </c>
      <c r="H31" s="20">
        <f>'Toelichting maatregelen'!G159</f>
        <v>-0.59599999999999997</v>
      </c>
      <c r="I31" s="20">
        <f>IF(B31=Selectievakken!$A$15,D31*H31,0)</f>
        <v>0</v>
      </c>
    </row>
    <row r="32" spans="1:9" x14ac:dyDescent="0.25">
      <c r="A32" s="43" t="s">
        <v>210</v>
      </c>
      <c r="B32" s="25" t="s">
        <v>164</v>
      </c>
      <c r="D32" s="17"/>
      <c r="E32" t="str">
        <f>VLOOKUP(A32,'Toelichting maatregelen'!B115:G243,3,0)</f>
        <v>Ha</v>
      </c>
      <c r="F32" s="323" t="str">
        <f>VLOOKUP(A32,'Toelichting maatregelen'!B115:G243,4,0)</f>
        <v>n.n.b.</v>
      </c>
      <c r="G32" s="323">
        <f>VLOOKUP(A32,'Toelichting maatregelen'!B115:G243,5,0)</f>
        <v>20</v>
      </c>
      <c r="H32" s="323">
        <f>VLOOKUP(A32,'Toelichting maatregelen'!B115:G243,6,0)</f>
        <v>-20</v>
      </c>
      <c r="I32" s="20">
        <f>IF(B32=Selectievakken!$A$15,D32*H32,0)</f>
        <v>0</v>
      </c>
    </row>
    <row r="33" spans="1:9" x14ac:dyDescent="0.25">
      <c r="A33" s="43" t="s">
        <v>211</v>
      </c>
      <c r="B33" s="25" t="s">
        <v>164</v>
      </c>
      <c r="C33" s="404" t="s">
        <v>91</v>
      </c>
      <c r="D33" s="17"/>
      <c r="E33" t="str">
        <f>VLOOKUP(A33,'Toelichting maatregelen'!B115:G245,3,0)</f>
        <v>Ha</v>
      </c>
      <c r="F33" s="323">
        <f>VLOOKUP(C33,'Toelichting maatregelen'!C172:G175,3,0)</f>
        <v>1401</v>
      </c>
      <c r="G33" s="323">
        <f>VLOOKUP(C33,'Toelichting maatregelen'!C172:G175,4,0)</f>
        <v>1310</v>
      </c>
      <c r="H33" s="323">
        <f>VLOOKUP(C33,'Toelichting maatregelen'!C172:G175,5,0)</f>
        <v>91</v>
      </c>
      <c r="I33" s="20">
        <f>IF(B33=Selectievakken!$A$15,D33*H33,0)</f>
        <v>0</v>
      </c>
    </row>
    <row r="34" spans="1:9" x14ac:dyDescent="0.25">
      <c r="A34" s="43" t="s">
        <v>212</v>
      </c>
      <c r="B34" s="25" t="s">
        <v>164</v>
      </c>
      <c r="D34" s="17"/>
      <c r="E34" t="str">
        <f>VLOOKUP(A34,'Toelichting maatregelen'!B115:G246,3,0)</f>
        <v>m3</v>
      </c>
      <c r="F34" s="323">
        <f>VLOOKUP(A34,'Toelichting maatregelen'!B115:G246,4,0)</f>
        <v>0</v>
      </c>
      <c r="G34" s="323">
        <f>VLOOKUP(A34,'Toelichting maatregelen'!B115:G246,5,0)</f>
        <v>0.59599999999999997</v>
      </c>
      <c r="H34" s="323">
        <f>VLOOKUP(A34,'Toelichting maatregelen'!B115:G246,6,0)</f>
        <v>-0.59599999999999997</v>
      </c>
      <c r="I34" s="20">
        <f>IF(B34=Selectievakken!$A$15,D34*H34,0)</f>
        <v>0</v>
      </c>
    </row>
    <row r="35" spans="1:9" x14ac:dyDescent="0.25">
      <c r="A35" s="43" t="s">
        <v>196</v>
      </c>
      <c r="B35" s="25" t="s">
        <v>164</v>
      </c>
      <c r="D35" s="17"/>
      <c r="E35" t="str">
        <f>VLOOKUP(A35,'Toelichting maatregelen'!B115:G247,3,0)</f>
        <v>Ha</v>
      </c>
      <c r="F35" s="323" t="str">
        <f>VLOOKUP(A35,'Toelichting maatregelen'!B115:G247,4,0)</f>
        <v>n.n.b.</v>
      </c>
      <c r="G35" s="323" t="str">
        <f>VLOOKUP(A35,'Toelichting maatregelen'!B115:G247,5,0)</f>
        <v>n.n.b.</v>
      </c>
      <c r="H35" s="323" t="str">
        <f>VLOOKUP(A35,'Toelichting maatregelen'!B115:G247,6,0)</f>
        <v>n.n.b.</v>
      </c>
      <c r="I35" s="20">
        <v>0</v>
      </c>
    </row>
    <row r="36" spans="1:9" x14ac:dyDescent="0.25">
      <c r="A36" s="43" t="s">
        <v>213</v>
      </c>
      <c r="B36" s="25" t="s">
        <v>164</v>
      </c>
      <c r="D36" s="17"/>
      <c r="E36" t="str">
        <f>VLOOKUP(A36,'Toelichting maatregelen'!B115:G248,3,0)</f>
        <v>Ha</v>
      </c>
      <c r="F36" s="323">
        <f>VLOOKUP(A36,'Toelichting maatregelen'!B115:G248,4,0)</f>
        <v>0</v>
      </c>
      <c r="G36" s="323">
        <f>VLOOKUP(A36,'Toelichting maatregelen'!B115:G248,5,0)</f>
        <v>1400</v>
      </c>
      <c r="H36" s="323">
        <f>VLOOKUP(A36,'Toelichting maatregelen'!B115:G248,6,0)</f>
        <v>-1400</v>
      </c>
      <c r="I36" s="20">
        <f>IF(B36=Selectievakken!$A$15,D36*H36,0)</f>
        <v>0</v>
      </c>
    </row>
    <row r="37" spans="1:9" x14ac:dyDescent="0.25">
      <c r="A37" s="43" t="s">
        <v>214</v>
      </c>
      <c r="B37" s="25" t="s">
        <v>164</v>
      </c>
      <c r="D37" s="17"/>
      <c r="E37" t="str">
        <f>VLOOKUP(A37,'Toelichting maatregelen'!B116:G249,3,0)</f>
        <v>Totaal</v>
      </c>
      <c r="F37" s="323" t="str">
        <f>VLOOKUP(A37,'Toelichting maatregelen'!B116:G249,4,0)</f>
        <v>n.n.b.</v>
      </c>
      <c r="G37" s="323" t="str">
        <f>VLOOKUP(A37,'Toelichting maatregelen'!B116:G249,5,0)</f>
        <v>n.n.b.</v>
      </c>
      <c r="H37" s="323" t="str">
        <f>VLOOKUP(A37,'Toelichting maatregelen'!B116:G249,6,0)</f>
        <v>n.n.b.</v>
      </c>
      <c r="I37" s="20">
        <v>0</v>
      </c>
    </row>
    <row r="38" spans="1:9" x14ac:dyDescent="0.25">
      <c r="A38" s="43" t="s">
        <v>215</v>
      </c>
      <c r="B38" s="25" t="s">
        <v>164</v>
      </c>
      <c r="D38" s="17"/>
      <c r="E38" t="str">
        <f>VLOOKUP(A38,'Toelichting maatregelen'!B117:G250,3,0)</f>
        <v>Ha</v>
      </c>
      <c r="F38" s="323">
        <f>VLOOKUP(A38,'Toelichting maatregelen'!B117:G250,4,0)</f>
        <v>0</v>
      </c>
      <c r="G38" s="323">
        <f>VLOOKUP(A38,'Toelichting maatregelen'!B117:G250,5,0)</f>
        <v>0</v>
      </c>
      <c r="H38" s="323">
        <f>VLOOKUP(A38,'Toelichting maatregelen'!B117:G250,6,0)</f>
        <v>0</v>
      </c>
      <c r="I38" s="20">
        <f>IF(B38=Selectievakken!$A$15,D38*H38,0)</f>
        <v>0</v>
      </c>
    </row>
    <row r="39" spans="1:9" hidden="1" x14ac:dyDescent="0.25">
      <c r="A39" s="43"/>
      <c r="B39" s="25" t="s">
        <v>164</v>
      </c>
      <c r="D39" s="17"/>
      <c r="E39" t="e">
        <f>VLOOKUP(A39,'Toelichting maatregelen'!B118:G251,3,0)</f>
        <v>#N/A</v>
      </c>
      <c r="F39" s="323" t="e">
        <f>VLOOKUP(A39,'Toelichting maatregelen'!B118:G251,4,0)</f>
        <v>#N/A</v>
      </c>
      <c r="G39" s="323" t="e">
        <f>VLOOKUP(A39,'Toelichting maatregelen'!B118:G251,5,0)</f>
        <v>#N/A</v>
      </c>
      <c r="H39" s="323" t="e">
        <f>VLOOKUP(A39,'Toelichting maatregelen'!B118:G251,6,0)</f>
        <v>#N/A</v>
      </c>
      <c r="I39" s="20">
        <f>IF(B39=Selectievakken!$A$15,D39*H39,0)</f>
        <v>0</v>
      </c>
    </row>
    <row r="40" spans="1:9" x14ac:dyDescent="0.25">
      <c r="A40" s="24" t="s">
        <v>216</v>
      </c>
      <c r="B40" s="25" t="s">
        <v>164</v>
      </c>
      <c r="D40" s="17"/>
      <c r="E40" t="str">
        <f>VLOOKUP(A40,'Toelichting maatregelen'!B119:G252,3,0)</f>
        <v>Ha</v>
      </c>
      <c r="F40" s="323">
        <f>VLOOKUP(A40,'Toelichting maatregelen'!B119:G252,4,0)</f>
        <v>0</v>
      </c>
      <c r="G40" s="323">
        <f>VLOOKUP(A40,'Toelichting maatregelen'!B119:G252,5,0)</f>
        <v>0</v>
      </c>
      <c r="H40" s="323">
        <f>VLOOKUP(A40,'Toelichting maatregelen'!B119:G252,6,0)</f>
        <v>0</v>
      </c>
      <c r="I40" s="20">
        <f>IF(B40=Selectievakken!$A$15,D40*H40,0)</f>
        <v>0</v>
      </c>
    </row>
    <row r="41" spans="1:9" x14ac:dyDescent="0.25">
      <c r="A41" s="24" t="s">
        <v>217</v>
      </c>
      <c r="B41" s="25" t="s">
        <v>164</v>
      </c>
      <c r="D41" s="17"/>
      <c r="E41" t="str">
        <f>VLOOKUP(A41,'Toelichting maatregelen'!B120:G253,3,0)</f>
        <v>Ha</v>
      </c>
      <c r="F41" s="323">
        <f>VLOOKUP(A41,'Toelichting maatregelen'!B120:G253,4,0)</f>
        <v>0</v>
      </c>
      <c r="G41" s="323">
        <f>VLOOKUP(A41,'Toelichting maatregelen'!B120:G253,5,0)</f>
        <v>0</v>
      </c>
      <c r="H41" s="323">
        <f>VLOOKUP(A41,'Toelichting maatregelen'!B120:G253,6,0)</f>
        <v>0</v>
      </c>
      <c r="I41" s="20">
        <f>IF(B41=Selectievakken!$A$15,D41*H41,0)</f>
        <v>0</v>
      </c>
    </row>
    <row r="42" spans="1:9" x14ac:dyDescent="0.25">
      <c r="A42" s="43" t="s">
        <v>218</v>
      </c>
      <c r="B42" s="25" t="s">
        <v>164</v>
      </c>
      <c r="D42" s="17"/>
      <c r="E42">
        <f>VLOOKUP(A42,'Toelichting maatregelen'!B121:G254,3,0)</f>
        <v>0</v>
      </c>
      <c r="F42" s="323">
        <f>VLOOKUP(A42,'Toelichting maatregelen'!B121:G254,4,0)</f>
        <v>0</v>
      </c>
      <c r="G42" s="323">
        <f>VLOOKUP(A42,'Toelichting maatregelen'!B121:G254,5,0)</f>
        <v>0</v>
      </c>
      <c r="H42" s="323">
        <f>VLOOKUP(A42,'Toelichting maatregelen'!B121:G254,6,0)</f>
        <v>0</v>
      </c>
      <c r="I42" s="20">
        <f>IF(B42=Selectievakken!$A$15,D42*H42,0)</f>
        <v>0</v>
      </c>
    </row>
    <row r="43" spans="1:9" x14ac:dyDescent="0.25">
      <c r="A43" s="24" t="s">
        <v>219</v>
      </c>
      <c r="B43" s="25" t="s">
        <v>164</v>
      </c>
      <c r="D43" s="17"/>
      <c r="E43" t="str">
        <f>VLOOKUP(A43,'Toelichting maatregelen'!B122:G255,3,0)</f>
        <v>Meter</v>
      </c>
      <c r="F43" s="323">
        <f>VLOOKUP(A43,'Toelichting maatregelen'!B122:G255,4,0)</f>
        <v>4.55</v>
      </c>
      <c r="G43" s="323">
        <f>VLOOKUP(A43,'Toelichting maatregelen'!B122:G255,5,0)</f>
        <v>6.35</v>
      </c>
      <c r="H43" s="323">
        <f>VLOOKUP(A43,'Toelichting maatregelen'!B122:G255,6,0)</f>
        <v>-1.7999999999999998</v>
      </c>
      <c r="I43" s="20">
        <f>IF(B43=Selectievakken!$A$15,D43*H43,0)</f>
        <v>0</v>
      </c>
    </row>
    <row r="44" spans="1:9" x14ac:dyDescent="0.25">
      <c r="A44" s="26" t="s">
        <v>220</v>
      </c>
      <c r="B44" s="25" t="s">
        <v>164</v>
      </c>
      <c r="D44" s="17"/>
      <c r="E44">
        <f>VLOOKUP(A44,'Toelichting maatregelen'!B123:G256,3,0)</f>
        <v>0</v>
      </c>
      <c r="F44" s="323" t="str">
        <f>VLOOKUP(A44,'Toelichting maatregelen'!B123:G256,4,0)</f>
        <v xml:space="preserve">n.n.b. </v>
      </c>
      <c r="G44" s="323" t="str">
        <f>VLOOKUP(A44,'Toelichting maatregelen'!B123:G256,5,0)</f>
        <v>n.n.b.</v>
      </c>
      <c r="H44" s="323" t="str">
        <f>VLOOKUP(A44,'Toelichting maatregelen'!B123:G256,6,0)</f>
        <v>n.n.b.</v>
      </c>
      <c r="I44" s="20">
        <f>IF(B44=Selectievakken!$A$15,D44*H44,0)</f>
        <v>0</v>
      </c>
    </row>
    <row r="45" spans="1:9" x14ac:dyDescent="0.25">
      <c r="B45" s="27"/>
      <c r="F45" s="17"/>
      <c r="G45" s="17"/>
      <c r="H45" s="17"/>
      <c r="I45" s="20"/>
    </row>
    <row r="46" spans="1:9" x14ac:dyDescent="0.25">
      <c r="A46" s="28" t="s">
        <v>221</v>
      </c>
      <c r="B46" s="29"/>
      <c r="D46" s="30" t="s">
        <v>69</v>
      </c>
      <c r="E46" t="s">
        <v>176</v>
      </c>
      <c r="F46" s="17"/>
      <c r="G46" s="17"/>
      <c r="H46" s="17"/>
      <c r="I46" s="20"/>
    </row>
    <row r="47" spans="1:9" x14ac:dyDescent="0.25">
      <c r="A47" s="31" t="s">
        <v>222</v>
      </c>
      <c r="B47" s="29" t="s">
        <v>164</v>
      </c>
      <c r="D47" s="17">
        <v>50</v>
      </c>
      <c r="E47" t="str">
        <f>VLOOKUP(A47,'Toelichting maatregelen'!B234:G304,3,0)</f>
        <v>Meter</v>
      </c>
      <c r="F47" s="323">
        <f>VLOOKUP(A47,'Toelichting maatregelen'!B234:G304,4,0)</f>
        <v>0</v>
      </c>
      <c r="G47" s="17">
        <f>VLOOKUP(A47,'Toelichting maatregelen'!B234:G304,5,0)</f>
        <v>6</v>
      </c>
      <c r="H47" s="21">
        <f>VLOOKUP(A47,'Toelichting maatregelen'!B234:G304,6,0)</f>
        <v>-6</v>
      </c>
      <c r="I47" s="20">
        <f>IF(B47=Selectievakken!$A$15,D47*H47,0)</f>
        <v>0</v>
      </c>
    </row>
    <row r="48" spans="1:9" x14ac:dyDescent="0.25">
      <c r="A48" s="33" t="s">
        <v>223</v>
      </c>
      <c r="B48" s="29" t="s">
        <v>164</v>
      </c>
      <c r="D48" s="17"/>
      <c r="E48" t="str">
        <f>VLOOKUP(A48,'Toelichting maatregelen'!B235:G305,3,0)</f>
        <v>Totaal</v>
      </c>
      <c r="F48" s="323" t="str">
        <f>VLOOKUP(A48,'Toelichting maatregelen'!B235:G305,4,0)</f>
        <v>n.n.b.</v>
      </c>
      <c r="G48" s="17" t="str">
        <f>VLOOKUP(A48,'Toelichting maatregelen'!B235:G305,5,0)</f>
        <v>n.n.b.</v>
      </c>
      <c r="H48" s="21" t="str">
        <f>VLOOKUP(A48,'Toelichting maatregelen'!B235:G305,6,0)</f>
        <v>n.n.b.</v>
      </c>
      <c r="I48" s="20">
        <v>0</v>
      </c>
    </row>
    <row r="49" spans="1:9" x14ac:dyDescent="0.25">
      <c r="A49" s="31" t="s">
        <v>224</v>
      </c>
      <c r="B49" s="29" t="str">
        <f>IF(D49&gt;0,Selectievakken!A15,Selectievakken!A16)</f>
        <v>Nee</v>
      </c>
      <c r="D49" s="17">
        <f>'Voer NIL'!J4+'Voer NIL'!J6</f>
        <v>0</v>
      </c>
      <c r="E49" t="str">
        <f>VLOOKUP(A49,'Toelichting maatregelen'!B236:G306,3,0)</f>
        <v>Ha</v>
      </c>
      <c r="F49" s="323">
        <f>VLOOKUP(A49,'Toelichting maatregelen'!B236:G306,4,0)</f>
        <v>135.5</v>
      </c>
      <c r="G49" s="17">
        <f>VLOOKUP(A49,'Toelichting maatregelen'!B236:G306,5,0)</f>
        <v>78</v>
      </c>
      <c r="H49" s="21">
        <f>VLOOKUP(A49,'Toelichting maatregelen'!B236:G306,6,0)</f>
        <v>57.5</v>
      </c>
      <c r="I49" s="20">
        <f>IF(B49=Selectievakken!$A$15,D49*H49,0)</f>
        <v>0</v>
      </c>
    </row>
    <row r="50" spans="1:9" x14ac:dyDescent="0.25">
      <c r="A50" s="31" t="s">
        <v>225</v>
      </c>
      <c r="B50" s="29" t="s">
        <v>164</v>
      </c>
      <c r="D50" s="17"/>
      <c r="E50" t="str">
        <f>VLOOKUP(A50,'Toelichting maatregelen'!B237:G307,3,0)</f>
        <v>Ha</v>
      </c>
      <c r="F50" s="323">
        <f>VLOOKUP(A50,'Toelichting maatregelen'!B237:G307,4,0)</f>
        <v>0</v>
      </c>
      <c r="G50" s="392">
        <f>VLOOKUP(A50,'Toelichting maatregelen'!B237:G307,5,0)</f>
        <v>0</v>
      </c>
      <c r="H50" s="392">
        <f>VLOOKUP(A50,'Toelichting maatregelen'!B237:G307,6,0)</f>
        <v>0</v>
      </c>
      <c r="I50" s="20">
        <f>IF(B50=Selectievakken!$A$15,D50*H50,0)</f>
        <v>0</v>
      </c>
    </row>
    <row r="51" spans="1:9" x14ac:dyDescent="0.25">
      <c r="A51" s="33" t="s">
        <v>226</v>
      </c>
      <c r="B51" s="29" t="str">
        <f>IF(D51&gt;0,Selectievakken!A15,Selectievakken!A16)</f>
        <v>Ja</v>
      </c>
      <c r="D51" s="17">
        <f>'Voer NIL'!J8</f>
        <v>10</v>
      </c>
      <c r="E51" t="str">
        <f>VLOOKUP(A51,'Toelichting maatregelen'!B238:G308,3,0)</f>
        <v>Ha</v>
      </c>
      <c r="F51" s="323">
        <f>VLOOKUP(A51,'Toelichting maatregelen'!B238:G308,4,0)</f>
        <v>135.5</v>
      </c>
      <c r="G51" s="17">
        <f>VLOOKUP(A51,'Toelichting maatregelen'!B238:G308,5,0)</f>
        <v>78</v>
      </c>
      <c r="H51" s="21">
        <f>VLOOKUP(A51,'Toelichting maatregelen'!B238:G308,6,0)</f>
        <v>57.5</v>
      </c>
      <c r="I51" s="20">
        <f>IF(B51=Selectievakken!$A$15,D51*H51,0)</f>
        <v>575</v>
      </c>
    </row>
    <row r="52" spans="1:9" x14ac:dyDescent="0.25">
      <c r="A52" s="31" t="s">
        <v>227</v>
      </c>
      <c r="B52" s="29" t="s">
        <v>164</v>
      </c>
      <c r="D52" s="17">
        <v>1</v>
      </c>
      <c r="E52" t="str">
        <f>VLOOKUP(A52,'Toelichting maatregelen'!B239:G308,3,0)</f>
        <v>Ha</v>
      </c>
      <c r="F52" s="323">
        <f>VLOOKUP(A52,'Toelichting maatregelen'!B239:G308,4,0)</f>
        <v>2142</v>
      </c>
      <c r="G52" s="17">
        <f>VLOOKUP(A52,'Toelichting maatregelen'!B239:G308,5,0)</f>
        <v>1884</v>
      </c>
      <c r="H52" s="21">
        <f>VLOOKUP(A52,'Toelichting maatregelen'!B239:G308,6,0)</f>
        <v>258</v>
      </c>
      <c r="I52" s="20">
        <f>IF(B52=Selectievakken!$A$15,D52*H52,0)</f>
        <v>0</v>
      </c>
    </row>
    <row r="53" spans="1:9" x14ac:dyDescent="0.25">
      <c r="A53" s="33" t="s">
        <v>228</v>
      </c>
      <c r="B53" s="29" t="s">
        <v>164</v>
      </c>
      <c r="D53" s="17"/>
      <c r="E53" t="str">
        <f>VLOOKUP(A53,'Toelichting maatregelen'!B240:G309,3,0)</f>
        <v>Meter</v>
      </c>
      <c r="F53" s="323" t="str">
        <f>VLOOKUP(A53,'Toelichting maatregelen'!B240:G309,4,0)</f>
        <v>n.n.b</v>
      </c>
      <c r="G53" s="17" t="str">
        <f>VLOOKUP(A53,'Toelichting maatregelen'!B240:G309,5,0)</f>
        <v>n.n.b</v>
      </c>
      <c r="H53" s="21" t="str">
        <f>VLOOKUP(A53,'Toelichting maatregelen'!B240:G309,6,0)</f>
        <v>n.n.b</v>
      </c>
      <c r="I53" s="20">
        <v>0</v>
      </c>
    </row>
    <row r="54" spans="1:9" x14ac:dyDescent="0.25">
      <c r="A54" s="33" t="s">
        <v>229</v>
      </c>
      <c r="B54" s="29" t="s">
        <v>164</v>
      </c>
      <c r="D54" s="17"/>
      <c r="E54" t="str">
        <f>VLOOKUP(A54,'Toelichting maatregelen'!B241:G310,3,0)</f>
        <v>Totaal</v>
      </c>
      <c r="F54" s="323" t="str">
        <f>VLOOKUP(A54,'Toelichting maatregelen'!B241:G310,4,0)</f>
        <v>n.n.b.</v>
      </c>
      <c r="G54" s="17" t="str">
        <f>VLOOKUP(A54,'Toelichting maatregelen'!B241:G310,5,0)</f>
        <v>n.n.b.</v>
      </c>
      <c r="H54" s="21" t="str">
        <f>VLOOKUP(A54,'Toelichting maatregelen'!B241:G310,6,0)</f>
        <v>n.n.b.</v>
      </c>
      <c r="I54" s="20">
        <v>0</v>
      </c>
    </row>
    <row r="55" spans="1:9" x14ac:dyDescent="0.25">
      <c r="A55" s="31" t="s">
        <v>230</v>
      </c>
      <c r="B55" s="29" t="s">
        <v>164</v>
      </c>
      <c r="D55" s="17"/>
      <c r="E55" t="str">
        <f>VLOOKUP(A55,'Toelichting maatregelen'!B242:G311,3,0)</f>
        <v>Meter</v>
      </c>
      <c r="F55" s="323">
        <f>VLOOKUP(A55,'Toelichting maatregelen'!B242:G311,4,0)</f>
        <v>0</v>
      </c>
      <c r="G55" s="17">
        <f>VLOOKUP(A55,'Toelichting maatregelen'!B242:G311,5,0)</f>
        <v>6</v>
      </c>
      <c r="H55" s="21">
        <f>VLOOKUP(A55,'Toelichting maatregelen'!B242:G311,6,0)</f>
        <v>-6</v>
      </c>
      <c r="I55" s="20">
        <f>IF(B55=Selectievakken!$A$15,D55*H55,0)</f>
        <v>0</v>
      </c>
    </row>
    <row r="56" spans="1:9" x14ac:dyDescent="0.25">
      <c r="A56" s="31" t="s">
        <v>231</v>
      </c>
      <c r="B56" s="29" t="s">
        <v>164</v>
      </c>
      <c r="D56" s="17"/>
      <c r="E56" t="str">
        <f>VLOOKUP(A56,'Toelichting maatregelen'!B243:G312,3,0)</f>
        <v>Meter</v>
      </c>
      <c r="F56" s="323">
        <f>VLOOKUP(A56,'Toelichting maatregelen'!B243:G312,4,0)</f>
        <v>0</v>
      </c>
      <c r="G56" s="17">
        <f>VLOOKUP(A56,'Toelichting maatregelen'!B243:G312,5,0)</f>
        <v>5.51</v>
      </c>
      <c r="H56" s="21">
        <f>VLOOKUP(A56,'Toelichting maatregelen'!B243:G312,6,0)</f>
        <v>-5.51</v>
      </c>
      <c r="I56" s="20">
        <f>IF(B56=Selectievakken!$A$15,D56*H56,0)</f>
        <v>0</v>
      </c>
    </row>
    <row r="57" spans="1:9" x14ac:dyDescent="0.25">
      <c r="A57" s="33" t="s">
        <v>232</v>
      </c>
      <c r="B57" s="29" t="s">
        <v>164</v>
      </c>
      <c r="D57" s="17"/>
      <c r="E57" t="str">
        <f>VLOOKUP(A57,'Toelichting maatregelen'!B244:G313,3,0)</f>
        <v>Ha</v>
      </c>
      <c r="F57" s="323">
        <f>VLOOKUP(A57,'Toelichting maatregelen'!B244:G313,4,0)</f>
        <v>0</v>
      </c>
      <c r="G57" s="17">
        <f>VLOOKUP(A57,'Toelichting maatregelen'!B244:G313,5,0)</f>
        <v>2064</v>
      </c>
      <c r="H57" s="21">
        <f>VLOOKUP(A57,'Toelichting maatregelen'!B244:G313,6,0)</f>
        <v>-2064</v>
      </c>
      <c r="I57" s="20">
        <f>IF(B57=Selectievakken!$A$15,D57*H57,0)</f>
        <v>0</v>
      </c>
    </row>
    <row r="58" spans="1:9" x14ac:dyDescent="0.25">
      <c r="A58" s="33" t="s">
        <v>233</v>
      </c>
      <c r="B58" s="29" t="s">
        <v>164</v>
      </c>
      <c r="D58" s="17"/>
      <c r="E58" t="str">
        <f>VLOOKUP(A58,'Toelichting maatregelen'!B245:G314,3,0)</f>
        <v>Totaal</v>
      </c>
      <c r="F58" s="323" t="str">
        <f>VLOOKUP(A58,'Toelichting maatregelen'!B245:G314,4,0)</f>
        <v>n.n.b.</v>
      </c>
      <c r="G58" s="17" t="str">
        <f>VLOOKUP(A58,'Toelichting maatregelen'!B245:G314,5,0)</f>
        <v>n.n.b.</v>
      </c>
      <c r="H58" s="21" t="str">
        <f>VLOOKUP(A58,'Toelichting maatregelen'!B245:G314,6,0)</f>
        <v>n.n.b.</v>
      </c>
      <c r="I58" s="20">
        <v>0</v>
      </c>
    </row>
    <row r="59" spans="1:9" x14ac:dyDescent="0.25">
      <c r="F59" s="17"/>
      <c r="G59" s="17"/>
      <c r="H59" s="17"/>
      <c r="I59" s="20"/>
    </row>
    <row r="60" spans="1:9" x14ac:dyDescent="0.25">
      <c r="A60" s="35" t="s">
        <v>234</v>
      </c>
      <c r="B60" s="36"/>
      <c r="D60" s="17" t="s">
        <v>69</v>
      </c>
      <c r="F60" s="323"/>
      <c r="G60" s="17"/>
      <c r="H60" s="21"/>
      <c r="I60" s="20"/>
    </row>
    <row r="61" spans="1:9" x14ac:dyDescent="0.25">
      <c r="A61" s="37" t="s">
        <v>235</v>
      </c>
      <c r="B61" s="44" t="s">
        <v>164</v>
      </c>
      <c r="D61" s="17">
        <v>1</v>
      </c>
      <c r="E61" t="str">
        <f>VLOOKUP(A61,'Toelichting maatregelen'!B308:G410,3,0)</f>
        <v>Totaal</v>
      </c>
      <c r="F61" s="323">
        <f>VLOOKUP(A61,'Toelichting maatregelen'!B308:G410,4,0)</f>
        <v>0</v>
      </c>
      <c r="G61" s="323">
        <f>VLOOKUP(A61,'Toelichting maatregelen'!B308:G410,5,0)</f>
        <v>0</v>
      </c>
      <c r="H61" s="386">
        <f>VLOOKUP(A61,'Toelichting maatregelen'!B308:G410,6,0)</f>
        <v>0</v>
      </c>
      <c r="I61" s="20">
        <f>IF(B61=Selectievakken!$A$15,D61*H61,0)</f>
        <v>0</v>
      </c>
    </row>
    <row r="62" spans="1:9" x14ac:dyDescent="0.25">
      <c r="A62" s="37" t="s">
        <v>236</v>
      </c>
      <c r="B62" s="44" t="s">
        <v>164</v>
      </c>
      <c r="D62" s="17"/>
      <c r="E62" t="str">
        <f>VLOOKUP(A62,'Toelichting maatregelen'!B309:G411,3,0)</f>
        <v>Totaal</v>
      </c>
      <c r="F62" s="323" t="str">
        <f>VLOOKUP(A62,'Toelichting maatregelen'!B309:G411,4,0)</f>
        <v>n.n.b.</v>
      </c>
      <c r="G62" s="323" t="str">
        <f>VLOOKUP(A62,'Toelichting maatregelen'!B309:G411,5,0)</f>
        <v>n.n.b.</v>
      </c>
      <c r="H62" s="386" t="str">
        <f>VLOOKUP(A62,'Toelichting maatregelen'!B309:G411,6,0)</f>
        <v>n.n.b.</v>
      </c>
      <c r="I62" s="20">
        <v>0</v>
      </c>
    </row>
    <row r="63" spans="1:9" x14ac:dyDescent="0.25">
      <c r="A63" s="37" t="s">
        <v>237</v>
      </c>
      <c r="B63" s="44" t="s">
        <v>164</v>
      </c>
      <c r="D63" s="17"/>
      <c r="E63" t="str">
        <f>VLOOKUP(A63,'Toelichting maatregelen'!B309:G412,3,0)</f>
        <v>Totaal</v>
      </c>
      <c r="F63" s="323" t="str">
        <f>VLOOKUP(A63,'Toelichting maatregelen'!B309:G412,4,0)</f>
        <v>n.n.b.</v>
      </c>
      <c r="G63" s="323" t="str">
        <f>VLOOKUP(A63,'Toelichting maatregelen'!B309:G412,5,0)</f>
        <v>n.n.b.</v>
      </c>
      <c r="H63" s="386" t="str">
        <f>VLOOKUP(A63,'Toelichting maatregelen'!B309:G412,6,0)</f>
        <v>n.n.b.</v>
      </c>
      <c r="I63" s="20">
        <v>0</v>
      </c>
    </row>
    <row r="64" spans="1:9" x14ac:dyDescent="0.25">
      <c r="A64" s="38" t="s">
        <v>238</v>
      </c>
      <c r="B64" s="44" t="s">
        <v>164</v>
      </c>
      <c r="D64" s="17"/>
      <c r="E64" t="str">
        <f>VLOOKUP(A64,'Toelichting maatregelen'!B310:G413,3,0)</f>
        <v>Totaal</v>
      </c>
      <c r="F64" s="323" t="str">
        <f>VLOOKUP(A64,'Toelichting maatregelen'!B310:G413,4,0)</f>
        <v>n.n.b.</v>
      </c>
      <c r="G64" s="323" t="str">
        <f>VLOOKUP(A64,'Toelichting maatregelen'!B310:G413,5,0)</f>
        <v>n.n.b.</v>
      </c>
      <c r="H64" s="386" t="str">
        <f>VLOOKUP(A64,'Toelichting maatregelen'!B310:G413,6,0)</f>
        <v>n.n.b.</v>
      </c>
      <c r="I64" s="20">
        <v>0</v>
      </c>
    </row>
    <row r="65" spans="1:9" x14ac:dyDescent="0.25">
      <c r="A65" s="37" t="s">
        <v>239</v>
      </c>
      <c r="B65" s="44" t="s">
        <v>164</v>
      </c>
      <c r="D65" s="17"/>
      <c r="E65" t="str">
        <f>VLOOKUP(A65,'Toelichting maatregelen'!B311:G414,3,0)</f>
        <v>Ha</v>
      </c>
      <c r="F65" s="323">
        <f>VLOOKUP(A65,'Toelichting maatregelen'!B311:G414,4,0)</f>
        <v>0</v>
      </c>
      <c r="G65" s="323">
        <f>VLOOKUP(A65,'Toelichting maatregelen'!B311:G414,5,0)</f>
        <v>0</v>
      </c>
      <c r="H65" s="386">
        <f>VLOOKUP(A65,'Toelichting maatregelen'!B311:G414,6,0)</f>
        <v>0</v>
      </c>
      <c r="I65" s="20">
        <f>IF(B65=Selectievakken!$A$15,D65*H65,0)</f>
        <v>0</v>
      </c>
    </row>
    <row r="66" spans="1:9" x14ac:dyDescent="0.25">
      <c r="A66" s="38" t="s">
        <v>240</v>
      </c>
      <c r="B66" s="44" t="s">
        <v>164</v>
      </c>
      <c r="D66" s="17">
        <v>10</v>
      </c>
      <c r="E66" t="str">
        <f>VLOOKUP(A66,'Toelichting maatregelen'!B312:G415,3,0)</f>
        <v>Kasten</v>
      </c>
      <c r="F66" s="323">
        <f>VLOOKUP(A66,'Toelichting maatregelen'!B312:G415,4,0)</f>
        <v>0</v>
      </c>
      <c r="G66" s="323">
        <f>VLOOKUP(A66,'Toelichting maatregelen'!B312:G415,5,0)</f>
        <v>15</v>
      </c>
      <c r="H66" s="386">
        <f>VLOOKUP(A66,'Toelichting maatregelen'!B312:G415,6,0)</f>
        <v>-15</v>
      </c>
      <c r="I66" s="20">
        <f>IF(B66=Selectievakken!$A$15,D66*H66,0)</f>
        <v>0</v>
      </c>
    </row>
    <row r="67" spans="1:9" x14ac:dyDescent="0.25">
      <c r="A67" s="38" t="s">
        <v>241</v>
      </c>
      <c r="B67" s="44" t="s">
        <v>164</v>
      </c>
      <c r="D67" s="17"/>
      <c r="E67" t="str">
        <f>VLOOKUP(A67,'Toelichting maatregelen'!B313:G416,3,0)</f>
        <v>Kasten</v>
      </c>
      <c r="F67" s="323">
        <f>VLOOKUP(A67,'Toelichting maatregelen'!B313:G416,4,0)</f>
        <v>0</v>
      </c>
      <c r="G67" s="323">
        <f>VLOOKUP(A67,'Toelichting maatregelen'!B313:G416,5,0)</f>
        <v>20</v>
      </c>
      <c r="H67" s="386">
        <f>VLOOKUP(A67,'Toelichting maatregelen'!B313:G416,6,0)</f>
        <v>-20</v>
      </c>
      <c r="I67" s="20">
        <f>IF(B67=Selectievakken!$A$15,D67*H67,0)</f>
        <v>0</v>
      </c>
    </row>
    <row r="68" spans="1:9" x14ac:dyDescent="0.25">
      <c r="A68" s="37" t="s">
        <v>242</v>
      </c>
      <c r="B68" s="44" t="s">
        <v>164</v>
      </c>
      <c r="D68" s="17"/>
      <c r="E68" t="str">
        <f>VLOOKUP(A68,'Toelichting maatregelen'!B314:G417,3,0)</f>
        <v>Meter</v>
      </c>
      <c r="F68" s="323">
        <f>VLOOKUP(A68,'Toelichting maatregelen'!B314:G417,4,0)</f>
        <v>2142</v>
      </c>
      <c r="G68" s="323">
        <f>VLOOKUP(A68,'Toelichting maatregelen'!B314:G417,5,0)</f>
        <v>1884</v>
      </c>
      <c r="H68" s="386">
        <f>VLOOKUP(A68,'Toelichting maatregelen'!B314:G417,6,0)</f>
        <v>258</v>
      </c>
      <c r="I68" s="20">
        <f>IF(B68=Selectievakken!$A$15,D68*H68,0)</f>
        <v>0</v>
      </c>
    </row>
    <row r="69" spans="1:9" x14ac:dyDescent="0.25">
      <c r="A69" s="38" t="s">
        <v>243</v>
      </c>
      <c r="B69" s="44" t="s">
        <v>164</v>
      </c>
      <c r="D69" s="17"/>
      <c r="E69" t="str">
        <f>VLOOKUP(A69,'Toelichting maatregelen'!B315:G418,3,0)</f>
        <v>Meter</v>
      </c>
      <c r="F69" s="323">
        <f>VLOOKUP(A69,'Toelichting maatregelen'!B315:G418,4,0)</f>
        <v>0</v>
      </c>
      <c r="G69" s="323">
        <f>VLOOKUP(A69,'Toelichting maatregelen'!B315:G418,5,0)</f>
        <v>5</v>
      </c>
      <c r="H69" s="386">
        <f>VLOOKUP(A69,'Toelichting maatregelen'!B315:G418,6,0)</f>
        <v>-5</v>
      </c>
      <c r="I69" s="20">
        <f>IF(B69=Selectievakken!$A$15,D69*H69,0)</f>
        <v>0</v>
      </c>
    </row>
    <row r="70" spans="1:9" x14ac:dyDescent="0.25">
      <c r="A70" s="38" t="s">
        <v>244</v>
      </c>
      <c r="B70" s="44" t="s">
        <v>164</v>
      </c>
      <c r="D70" s="17">
        <v>3</v>
      </c>
      <c r="E70" t="str">
        <f>VLOOKUP(A70,'Toelichting maatregelen'!B316:G419,3,0)</f>
        <v>Hotels</v>
      </c>
      <c r="F70" s="323">
        <f>VLOOKUP(A70,'Toelichting maatregelen'!B316:G419,4,0)</f>
        <v>0</v>
      </c>
      <c r="G70" s="323">
        <f>VLOOKUP(A70,'Toelichting maatregelen'!B316:G419,5,0)</f>
        <v>40</v>
      </c>
      <c r="H70" s="386">
        <f>VLOOKUP(A70,'Toelichting maatregelen'!B316:G419,6,0)</f>
        <v>-40</v>
      </c>
      <c r="I70" s="20">
        <f>IF(B70=Selectievakken!$A$15,D70*H70,0)</f>
        <v>0</v>
      </c>
    </row>
    <row r="71" spans="1:9" x14ac:dyDescent="0.25">
      <c r="A71" s="37" t="s">
        <v>195</v>
      </c>
      <c r="B71" s="44" t="s">
        <v>164</v>
      </c>
      <c r="D71" s="17"/>
      <c r="E71" t="str">
        <f>VLOOKUP(A71,'Toelichting maatregelen'!B317:G420,3,0)</f>
        <v>Ha</v>
      </c>
      <c r="F71" s="323">
        <f>VLOOKUP(A71,'Toelichting maatregelen'!B317:G420,4,0)</f>
        <v>0</v>
      </c>
      <c r="G71" s="323">
        <f>VLOOKUP(A71,'Toelichting maatregelen'!B317:G420,5,0)</f>
        <v>0</v>
      </c>
      <c r="H71" s="386">
        <f>VLOOKUP(A71,'Toelichting maatregelen'!B317:G420,6,0)</f>
        <v>0</v>
      </c>
      <c r="I71" s="20">
        <f>IF(B71=Selectievakken!$A$15,D71*H71,0)</f>
        <v>0</v>
      </c>
    </row>
    <row r="72" spans="1:9" x14ac:dyDescent="0.25">
      <c r="A72" s="38" t="s">
        <v>196</v>
      </c>
      <c r="B72" s="44" t="s">
        <v>164</v>
      </c>
      <c r="D72" s="17"/>
      <c r="E72" t="str">
        <f>VLOOKUP(A72,'Toelichting maatregelen'!B319:G422,3,0)</f>
        <v>Ha</v>
      </c>
      <c r="F72" s="323" t="str">
        <f>VLOOKUP(A72,'Toelichting maatregelen'!B319:G422,4,0)</f>
        <v>n.n.b.</v>
      </c>
      <c r="G72" s="323" t="str">
        <f>VLOOKUP(A72,'Toelichting maatregelen'!B319:G422,5,0)</f>
        <v>n.n.b.</v>
      </c>
      <c r="H72" s="386" t="str">
        <f>VLOOKUP(A72,'Toelichting maatregelen'!B319:G422,6,0)</f>
        <v>n.n.b.</v>
      </c>
      <c r="I72" s="20">
        <v>0</v>
      </c>
    </row>
    <row r="73" spans="1:9" x14ac:dyDescent="0.25">
      <c r="A73" s="37" t="s">
        <v>245</v>
      </c>
      <c r="B73" s="44" t="s">
        <v>201</v>
      </c>
      <c r="C73" s="404" t="s">
        <v>416</v>
      </c>
      <c r="D73" s="17"/>
      <c r="E73" t="str">
        <f>VLOOKUP(A73,'Toelichting maatregelen'!B320:G423,3,0)</f>
        <v>Ha</v>
      </c>
      <c r="F73" s="323">
        <f>VLOOKUP(A73,'Toelichting maatregelen'!B320:G423,4,0)</f>
        <v>0</v>
      </c>
      <c r="G73" s="323">
        <f>-VLOOKUP(C73,'Toelichting maatregelen'!C384:F385,4,1)</f>
        <v>163.36320000000001</v>
      </c>
      <c r="H73" s="386">
        <f>F73-G73</f>
        <v>-163.36320000000001</v>
      </c>
      <c r="I73" s="20">
        <f>IF(B73=Selectievakken!$A$15,D73*H73,0)</f>
        <v>0</v>
      </c>
    </row>
    <row r="74" spans="1:9" x14ac:dyDescent="0.25">
      <c r="A74" s="38" t="s">
        <v>247</v>
      </c>
      <c r="B74" s="44" t="s">
        <v>164</v>
      </c>
      <c r="D74" s="17"/>
      <c r="E74" t="str">
        <f>VLOOKUP(A74,'Toelichting maatregelen'!B321:G424,3,0)</f>
        <v>Totaal</v>
      </c>
      <c r="F74" s="323" t="str">
        <f>VLOOKUP(A74,'Toelichting maatregelen'!B321:G424,4,0)</f>
        <v>n.n.b.</v>
      </c>
      <c r="G74" s="323" t="str">
        <f>VLOOKUP(A74,'Toelichting maatregelen'!B321:G424,5,0)</f>
        <v>n.n.b.</v>
      </c>
      <c r="H74" s="386" t="str">
        <f>VLOOKUP(A74,'Toelichting maatregelen'!B321:G424,6,0)</f>
        <v>n.n.b.</v>
      </c>
      <c r="I74" s="20">
        <v>0</v>
      </c>
    </row>
    <row r="75" spans="1:9" x14ac:dyDescent="0.25">
      <c r="A75" s="39" t="s">
        <v>248</v>
      </c>
      <c r="B75" s="44" t="s">
        <v>164</v>
      </c>
      <c r="D75" s="17"/>
      <c r="E75" t="str">
        <f>VLOOKUP(A75,'Toelichting maatregelen'!B322:G425,3,0)</f>
        <v>Ha</v>
      </c>
      <c r="F75" s="323">
        <f>VLOOKUP(A75,'Toelichting maatregelen'!B322:G425,4,0)</f>
        <v>0</v>
      </c>
      <c r="G75" s="323">
        <f>VLOOKUP(A75,'Toelichting maatregelen'!B322:G425,5,0)</f>
        <v>2064</v>
      </c>
      <c r="H75" s="386">
        <f>VLOOKUP(A75,'Toelichting maatregelen'!B322:G425,6,0)</f>
        <v>-2064</v>
      </c>
      <c r="I75" s="20">
        <f>IF(B75=Selectievakken!$A$15,D75*H75,0)</f>
        <v>0</v>
      </c>
    </row>
    <row r="76" spans="1:9" x14ac:dyDescent="0.25">
      <c r="A76" s="38" t="s">
        <v>249</v>
      </c>
      <c r="B76" s="44" t="s">
        <v>164</v>
      </c>
      <c r="D76" s="17"/>
      <c r="E76" t="str">
        <f>VLOOKUP(A76,'Toelichting maatregelen'!B323:G426,3,0)</f>
        <v>Stuks</v>
      </c>
      <c r="F76" s="323" t="str">
        <f>VLOOKUP(A76,'Toelichting maatregelen'!B323:G426,4,0)</f>
        <v>n.n.b.</v>
      </c>
      <c r="G76" s="323" t="str">
        <f>VLOOKUP(A76,'Toelichting maatregelen'!B323:G426,5,0)</f>
        <v>n.n.b.</v>
      </c>
      <c r="H76" s="386" t="str">
        <f>VLOOKUP(A76,'Toelichting maatregelen'!B323:G426,6,0)</f>
        <v>n.n.b.</v>
      </c>
      <c r="I76" s="20">
        <v>0</v>
      </c>
    </row>
    <row r="77" spans="1:9" x14ac:dyDescent="0.25">
      <c r="A77" s="38" t="s">
        <v>250</v>
      </c>
      <c r="B77" s="44" t="s">
        <v>164</v>
      </c>
      <c r="D77" s="17"/>
      <c r="E77" t="str">
        <f>VLOOKUP(A77,'Toelichting maatregelen'!B324:G427,3,0)</f>
        <v>Aantal</v>
      </c>
      <c r="F77" s="323" t="str">
        <f>VLOOKUP(A77,'Toelichting maatregelen'!B324:G427,4,0)</f>
        <v>n.n.b.</v>
      </c>
      <c r="G77" s="323" t="str">
        <f>VLOOKUP(A77,'Toelichting maatregelen'!B324:G427,5,0)</f>
        <v>n.n.b.</v>
      </c>
      <c r="H77" s="386" t="str">
        <f>VLOOKUP(A77,'Toelichting maatregelen'!B324:G427,6,0)</f>
        <v>n.n.b.</v>
      </c>
      <c r="I77" s="20">
        <v>0</v>
      </c>
    </row>
    <row r="78" spans="1:9" x14ac:dyDescent="0.25">
      <c r="F78" s="17"/>
      <c r="G78" s="17"/>
      <c r="H78" s="17"/>
      <c r="I78" s="442">
        <f>SUM(I6:I77)</f>
        <v>688</v>
      </c>
    </row>
    <row r="79" spans="1:9" x14ac:dyDescent="0.25">
      <c r="I79" s="285"/>
    </row>
  </sheetData>
  <mergeCells count="1">
    <mergeCell ref="F2:I2"/>
  </mergeCells>
  <pageMargins left="0.7" right="0.7" top="0.75" bottom="0.75" header="0.3" footer="0.3"/>
  <pageSetup paperSize="9" orientation="portrait" horizontalDpi="4294967295" verticalDpi="4294967295" r:id="rId1"/>
  <extLst>
    <ext xmlns:x14="http://schemas.microsoft.com/office/spreadsheetml/2009/9/main" uri="{CCE6A557-97BC-4b89-ADB6-D9C93CAAB3DF}">
      <x14:dataValidations xmlns:xm="http://schemas.microsoft.com/office/excel/2006/main" count="5">
        <x14:dataValidation type="list" allowBlank="1" showInputMessage="1" showErrorMessage="1" xr:uid="{D88CA3C6-3B3F-4E27-B777-5D16F1470726}">
          <x14:formula1>
            <xm:f>Selectievakken!$A$15:$A$16</xm:f>
          </x14:formula1>
          <xm:sqref>B6:B20 B47:B58 B61:B77 B23:B44</xm:sqref>
        </x14:dataValidation>
        <x14:dataValidation type="list" allowBlank="1" showInputMessage="1" showErrorMessage="1" xr:uid="{AD65702E-5B09-477F-98EC-D21FED62ADE2}">
          <x14:formula1>
            <xm:f>'Toelichting maatregelen'!$C$54:$C$55</xm:f>
          </x14:formula1>
          <xm:sqref>C14:C20</xm:sqref>
        </x14:dataValidation>
        <x14:dataValidation type="list" allowBlank="1" showInputMessage="1" showErrorMessage="1" xr:uid="{B4747B4E-EB45-4C68-9FC1-D473DD1B183A}">
          <x14:formula1>
            <xm:f>'Toelichting maatregelen'!$C$53:$C$56</xm:f>
          </x14:formula1>
          <xm:sqref>C13</xm:sqref>
        </x14:dataValidation>
        <x14:dataValidation type="list" allowBlank="1" showInputMessage="1" showErrorMessage="1" xr:uid="{1100FF91-3DB3-43FA-8100-F29D77DAC733}">
          <x14:formula1>
            <xm:f>'Toelichting maatregelen'!$C$172:$C$175</xm:f>
          </x14:formula1>
          <xm:sqref>C33</xm:sqref>
        </x14:dataValidation>
        <x14:dataValidation type="list" allowBlank="1" showInputMessage="1" showErrorMessage="1" xr:uid="{BCD782F2-6B00-4877-BBBD-FE1DF5846280}">
          <x14:formula1>
            <xm:f>'Toelichting maatregelen'!$C$384:$C$385</xm:f>
          </x14:formula1>
          <xm:sqref>C73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BFA773-75A8-4720-B3F0-76AD82BAE971}">
  <sheetPr codeName="Blad7">
    <tabColor theme="9" tint="0.59999389629810485"/>
  </sheetPr>
  <dimension ref="A2:E20"/>
  <sheetViews>
    <sheetView workbookViewId="0">
      <selection activeCell="B17" sqref="B17"/>
    </sheetView>
  </sheetViews>
  <sheetFormatPr defaultRowHeight="15" x14ac:dyDescent="0.25"/>
  <cols>
    <col min="1" max="1" width="32.5703125" bestFit="1" customWidth="1"/>
    <col min="2" max="2" width="9.85546875" bestFit="1" customWidth="1"/>
    <col min="3" max="3" width="9" bestFit="1" customWidth="1"/>
    <col min="4" max="4" width="5" bestFit="1" customWidth="1"/>
    <col min="5" max="5" width="7" bestFit="1" customWidth="1"/>
  </cols>
  <sheetData>
    <row r="2" spans="1:5" x14ac:dyDescent="0.25">
      <c r="A2" s="153" t="s">
        <v>4</v>
      </c>
      <c r="B2" s="82" t="s">
        <v>5</v>
      </c>
      <c r="C2" s="132" t="s">
        <v>6</v>
      </c>
      <c r="D2" s="82" t="s">
        <v>7</v>
      </c>
      <c r="E2" s="154" t="s">
        <v>8</v>
      </c>
    </row>
    <row r="3" spans="1:5" x14ac:dyDescent="0.25">
      <c r="A3" s="162" t="s">
        <v>9</v>
      </c>
      <c r="B3" s="300">
        <f>Transformatieblad!C19-Transformatieblad!B19</f>
        <v>0</v>
      </c>
      <c r="C3" s="155">
        <v>100</v>
      </c>
      <c r="D3" s="109">
        <v>1</v>
      </c>
      <c r="E3" s="163">
        <f>B3*D3</f>
        <v>0</v>
      </c>
    </row>
    <row r="4" spans="1:5" x14ac:dyDescent="0.25">
      <c r="A4" s="64" t="s">
        <v>10</v>
      </c>
      <c r="B4" s="301">
        <f>Transformatieblad!C20-Transformatieblad!B20</f>
        <v>0</v>
      </c>
      <c r="C4" s="156">
        <v>101</v>
      </c>
      <c r="D4" s="170">
        <v>0.23</v>
      </c>
      <c r="E4" s="112">
        <f>B4*D4</f>
        <v>0</v>
      </c>
    </row>
    <row r="5" spans="1:5" x14ac:dyDescent="0.25">
      <c r="A5" s="64" t="s">
        <v>11</v>
      </c>
      <c r="B5" s="301">
        <f>Transformatieblad!C21-Transformatieblad!B21</f>
        <v>0</v>
      </c>
      <c r="C5" s="156">
        <v>102</v>
      </c>
      <c r="D5" s="170">
        <v>0.53</v>
      </c>
      <c r="E5" s="112">
        <f>B5*D5</f>
        <v>0</v>
      </c>
    </row>
    <row r="6" spans="1:5" x14ac:dyDescent="0.25">
      <c r="A6" s="165" t="s">
        <v>12</v>
      </c>
      <c r="B6" s="302"/>
      <c r="C6" s="1">
        <v>120</v>
      </c>
      <c r="D6" s="27">
        <v>1</v>
      </c>
      <c r="E6" s="117">
        <f>B6*D6</f>
        <v>0</v>
      </c>
    </row>
    <row r="7" spans="1:5" x14ac:dyDescent="0.25">
      <c r="A7" s="168" t="s">
        <v>8</v>
      </c>
      <c r="B7" s="27"/>
      <c r="C7" s="166"/>
      <c r="D7" s="182"/>
      <c r="E7" s="167">
        <f>SUM(E3:E6)</f>
        <v>0</v>
      </c>
    </row>
    <row r="9" spans="1:5" x14ac:dyDescent="0.25">
      <c r="A9" s="82" t="s">
        <v>13</v>
      </c>
      <c r="B9" s="70"/>
    </row>
    <row r="10" spans="1:5" x14ac:dyDescent="0.25">
      <c r="A10" s="162" t="s">
        <v>14</v>
      </c>
      <c r="B10" s="475">
        <f>Bedrijfsgegevens!B14</f>
        <v>0</v>
      </c>
      <c r="C10" t="s">
        <v>15</v>
      </c>
    </row>
    <row r="11" spans="1:5" x14ac:dyDescent="0.25">
      <c r="A11" s="64" t="s">
        <v>251</v>
      </c>
      <c r="B11" s="491" t="e">
        <f>'Winst en verliesrekening'!G4/100</f>
        <v>#DIV/0!</v>
      </c>
    </row>
    <row r="12" spans="1:5" x14ac:dyDescent="0.25">
      <c r="A12" s="64" t="s">
        <v>16</v>
      </c>
      <c r="B12" s="301">
        <f>Bedrijfsgegevens!B15</f>
        <v>4.5</v>
      </c>
    </row>
    <row r="13" spans="1:5" x14ac:dyDescent="0.25">
      <c r="A13" s="64" t="s">
        <v>17</v>
      </c>
      <c r="B13" s="301">
        <f>Bedrijfsgegevens!B16</f>
        <v>3.6</v>
      </c>
    </row>
    <row r="14" spans="1:5" x14ac:dyDescent="0.25">
      <c r="A14" s="164" t="s">
        <v>18</v>
      </c>
      <c r="B14" s="403">
        <f>B10*B3</f>
        <v>0</v>
      </c>
      <c r="C14" s="284"/>
    </row>
    <row r="16" spans="1:5" x14ac:dyDescent="0.25">
      <c r="A16" s="82" t="s">
        <v>457</v>
      </c>
      <c r="B16" s="70"/>
    </row>
    <row r="17" spans="1:2" x14ac:dyDescent="0.25">
      <c r="A17" s="64" t="s">
        <v>19</v>
      </c>
      <c r="B17" s="301">
        <f>Bedrijfsgegevens!B20+Transformatieblad!B9+Transformatieblad!C11</f>
        <v>0</v>
      </c>
    </row>
    <row r="18" spans="1:2" x14ac:dyDescent="0.25">
      <c r="A18" s="64" t="s">
        <v>252</v>
      </c>
      <c r="B18" s="301">
        <f>Bedrijfsgegevens!B21+SUM(Transformatieblad!B13:B14)</f>
        <v>0</v>
      </c>
    </row>
    <row r="19" spans="1:2" x14ac:dyDescent="0.25">
      <c r="A19" s="64" t="s">
        <v>21</v>
      </c>
      <c r="B19" s="302">
        <f>Bedrijfsgegevens!B22+Transformatieblad!B15</f>
        <v>0</v>
      </c>
    </row>
    <row r="20" spans="1:2" x14ac:dyDescent="0.25">
      <c r="A20" s="101" t="s">
        <v>8</v>
      </c>
      <c r="B20" s="27">
        <f>SUM(B17:B19)</f>
        <v>0</v>
      </c>
    </row>
  </sheetData>
  <pageMargins left="0.7" right="0.7" top="0.75" bottom="0.75" header="0.3" footer="0.3"/>
  <pageSetup paperSize="9" orientation="portrait" horizontalDpi="360" verticalDpi="360" r:id="rId1"/>
  <extLst>
    <ext xmlns:x14="http://schemas.microsoft.com/office/spreadsheetml/2009/9/main" uri="{CCE6A557-97BC-4b89-ADB6-D9C93CAAB3DF}">
      <x14:dataValidations xmlns:xm="http://schemas.microsoft.com/office/excel/2006/main" count="2">
        <x14:dataValidation type="list" allowBlank="1" showInputMessage="1" showErrorMessage="1" xr:uid="{E9FEBE83-9594-415D-B32C-6FBB12D8053E}">
          <x14:formula1>
            <xm:f>Selectievakken!$O$3:$U$3</xm:f>
          </x14:formula1>
          <xm:sqref>B13</xm:sqref>
        </x14:dataValidation>
        <x14:dataValidation type="list" allowBlank="1" showInputMessage="1" showErrorMessage="1" xr:uid="{ADBB0B7C-2C00-41DE-91C1-8AEF6EC9C945}">
          <x14:formula1>
            <xm:f>Selectievakken!$O$4:$U$4</xm:f>
          </x14:formula1>
          <xm:sqref>B12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A9832-2D3C-4DB2-8418-C3A363BDE7D5}">
  <sheetPr codeName="Blad8">
    <tabColor theme="9" tint="0.59999389629810485"/>
  </sheetPr>
  <dimension ref="A2:J53"/>
  <sheetViews>
    <sheetView topLeftCell="A17" zoomScale="85" zoomScaleNormal="85" workbookViewId="0">
      <selection activeCell="E39" sqref="E39:F39"/>
    </sheetView>
  </sheetViews>
  <sheetFormatPr defaultRowHeight="15" x14ac:dyDescent="0.25"/>
  <cols>
    <col min="1" max="1" width="35.7109375" bestFit="1" customWidth="1"/>
    <col min="2" max="2" width="16.7109375" bestFit="1" customWidth="1"/>
    <col min="3" max="3" width="29" bestFit="1" customWidth="1"/>
    <col min="4" max="4" width="22.28515625" customWidth="1"/>
    <col min="5" max="5" width="19.140625" bestFit="1" customWidth="1"/>
    <col min="6" max="6" width="17.85546875" bestFit="1" customWidth="1"/>
    <col min="7" max="7" width="22.140625" bestFit="1" customWidth="1"/>
    <col min="8" max="8" width="22.28515625" bestFit="1" customWidth="1"/>
    <col min="9" max="9" width="29" bestFit="1" customWidth="1"/>
    <col min="10" max="11" width="26.5703125" bestFit="1" customWidth="1"/>
    <col min="12" max="12" width="15.28515625" customWidth="1"/>
  </cols>
  <sheetData>
    <row r="2" spans="1:10" x14ac:dyDescent="0.25">
      <c r="A2" s="598" t="s">
        <v>253</v>
      </c>
      <c r="B2" s="599"/>
      <c r="C2" s="599"/>
      <c r="D2" s="599"/>
      <c r="E2" s="599"/>
      <c r="F2" s="599"/>
      <c r="G2" s="599"/>
      <c r="H2" s="439"/>
      <c r="I2" s="22" t="s">
        <v>82</v>
      </c>
      <c r="J2" s="105"/>
    </row>
    <row r="3" spans="1:10" x14ac:dyDescent="0.25">
      <c r="A3" s="304" t="s">
        <v>254</v>
      </c>
      <c r="B3" s="304" t="s">
        <v>255</v>
      </c>
      <c r="C3" s="304" t="s">
        <v>70</v>
      </c>
      <c r="D3" s="80" t="s">
        <v>71</v>
      </c>
      <c r="E3" s="304" t="s">
        <v>72</v>
      </c>
      <c r="F3" s="304" t="s">
        <v>73</v>
      </c>
      <c r="G3" s="315" t="s">
        <v>74</v>
      </c>
      <c r="I3" s="110" t="str">
        <f>Selectievakken!H3</f>
        <v>Grasland</v>
      </c>
      <c r="J3" s="109">
        <f>SUMIF($C$4:$C$16,I3,$A$4:$A$16)</f>
        <v>0</v>
      </c>
    </row>
    <row r="4" spans="1:10" x14ac:dyDescent="0.25">
      <c r="A4" s="475">
        <v>10</v>
      </c>
      <c r="B4" s="547"/>
      <c r="C4" s="503" t="s">
        <v>86</v>
      </c>
      <c r="D4" s="307" t="e">
        <f>IF(VLOOKUP(C4,Selectievakken!H2:J14,2,0)&gt;0,VLOOKUP(C4,Selectievakken!H2:J14,2,0),VLOOKUP(C4,Selectievakken!H2:J14,3,0))</f>
        <v>#DIV/0!</v>
      </c>
      <c r="E4" s="146">
        <f>VLOOKUP(C4,Selectievakken!H2:K14,4,0)</f>
        <v>852</v>
      </c>
      <c r="F4" s="337" t="e">
        <f t="shared" ref="F4:F14" si="0">A4*D4</f>
        <v>#DIV/0!</v>
      </c>
      <c r="G4" s="147" t="e">
        <f t="shared" ref="G4:G14" si="1">F4*E4/1000</f>
        <v>#DIV/0!</v>
      </c>
      <c r="I4" s="110" t="str">
        <f>Selectievakken!H4</f>
        <v>Productief kruidenrijk grasland</v>
      </c>
      <c r="J4" s="170">
        <f t="shared" ref="J4:J15" si="2">SUMIF($C$4:$C$16,I4,$A$4:$A$16)</f>
        <v>0</v>
      </c>
    </row>
    <row r="5" spans="1:10" x14ac:dyDescent="0.25">
      <c r="A5" s="482">
        <v>0</v>
      </c>
      <c r="B5" s="548">
        <f>Voer!A5</f>
        <v>0</v>
      </c>
      <c r="C5" s="483" t="str">
        <f>Voer!B5</f>
        <v>Grasland</v>
      </c>
      <c r="D5" s="173" t="e">
        <f>Voer!C5</f>
        <v>#DIV/0!</v>
      </c>
      <c r="E5" s="305">
        <f>Voer!D5</f>
        <v>0</v>
      </c>
      <c r="F5" s="309" t="e">
        <f t="shared" si="0"/>
        <v>#DIV/0!</v>
      </c>
      <c r="G5" s="148" t="e">
        <f t="shared" si="1"/>
        <v>#DIV/0!</v>
      </c>
      <c r="I5" s="110" t="str">
        <f>Selectievakken!H5</f>
        <v>Grasland NIL</v>
      </c>
      <c r="J5" s="170">
        <f t="shared" si="2"/>
        <v>0</v>
      </c>
    </row>
    <row r="6" spans="1:10" x14ac:dyDescent="0.25">
      <c r="A6" s="482">
        <f>Voer!A6</f>
        <v>0</v>
      </c>
      <c r="B6" s="548">
        <f>Voer!A6</f>
        <v>0</v>
      </c>
      <c r="C6" s="483" t="str">
        <f>Voer!B6</f>
        <v>Snijmais</v>
      </c>
      <c r="D6" s="173" t="e">
        <f>Voer!C6</f>
        <v>#DIV/0!</v>
      </c>
      <c r="E6" s="305">
        <f>Voer!D6</f>
        <v>0</v>
      </c>
      <c r="F6" s="309" t="e">
        <f t="shared" si="0"/>
        <v>#DIV/0!</v>
      </c>
      <c r="G6" s="148" t="e">
        <f t="shared" si="1"/>
        <v>#DIV/0!</v>
      </c>
      <c r="I6" s="110" t="str">
        <f>Selectievakken!H6</f>
        <v>Extensief kruidenrijk grasland</v>
      </c>
      <c r="J6" s="170">
        <f t="shared" si="2"/>
        <v>0</v>
      </c>
    </row>
    <row r="7" spans="1:10" x14ac:dyDescent="0.25">
      <c r="A7" s="482">
        <v>0</v>
      </c>
      <c r="B7" s="548">
        <f>Voer!A7</f>
        <v>0</v>
      </c>
      <c r="C7" s="483" t="str">
        <f>Voer!B7</f>
        <v>Grasland</v>
      </c>
      <c r="D7" s="173" t="e">
        <f>Voer!C7</f>
        <v>#DIV/0!</v>
      </c>
      <c r="E7" s="305">
        <f>Voer!D7</f>
        <v>0</v>
      </c>
      <c r="F7" s="309" t="e">
        <f t="shared" si="0"/>
        <v>#DIV/0!</v>
      </c>
      <c r="G7" s="148" t="e">
        <f t="shared" si="1"/>
        <v>#DIV/0!</v>
      </c>
      <c r="I7" s="110" t="str">
        <f>Selectievakken!H7</f>
        <v>Natuurgras (Niet bemestbaar)</v>
      </c>
      <c r="J7" s="170">
        <f t="shared" si="2"/>
        <v>0</v>
      </c>
    </row>
    <row r="8" spans="1:10" x14ac:dyDescent="0.25">
      <c r="A8" s="482">
        <v>0</v>
      </c>
      <c r="B8" s="548">
        <f>Voer!A8</f>
        <v>0</v>
      </c>
      <c r="C8" s="483">
        <f>Voer!B8</f>
        <v>0</v>
      </c>
      <c r="D8" s="173" t="e">
        <f>Voer!C8</f>
        <v>#DIV/0!</v>
      </c>
      <c r="E8" s="305">
        <f>Voer!D8</f>
        <v>0</v>
      </c>
      <c r="F8" s="309" t="e">
        <f t="shared" si="0"/>
        <v>#DIV/0!</v>
      </c>
      <c r="G8" s="148" t="e">
        <f t="shared" si="1"/>
        <v>#DIV/0!</v>
      </c>
      <c r="I8" s="110" t="str">
        <f>Selectievakken!H8</f>
        <v>Grasklaver</v>
      </c>
      <c r="J8" s="170">
        <f t="shared" si="2"/>
        <v>10</v>
      </c>
    </row>
    <row r="9" spans="1:10" x14ac:dyDescent="0.25">
      <c r="A9" s="482">
        <v>0</v>
      </c>
      <c r="B9" s="548">
        <f>Voer!A9</f>
        <v>0</v>
      </c>
      <c r="C9" s="483">
        <f>Voer!B9</f>
        <v>0</v>
      </c>
      <c r="D9" s="173" t="e">
        <f>Voer!C9</f>
        <v>#DIV/0!</v>
      </c>
      <c r="E9" s="305">
        <f>Voer!D9</f>
        <v>0</v>
      </c>
      <c r="F9" s="309" t="e">
        <f t="shared" si="0"/>
        <v>#DIV/0!</v>
      </c>
      <c r="G9" s="148" t="e">
        <f t="shared" si="1"/>
        <v>#DIV/0!</v>
      </c>
      <c r="I9" s="110" t="str">
        <f>Selectievakken!H9</f>
        <v>Luzerne</v>
      </c>
      <c r="J9" s="170">
        <f t="shared" si="2"/>
        <v>0</v>
      </c>
    </row>
    <row r="10" spans="1:10" x14ac:dyDescent="0.25">
      <c r="A10" s="482">
        <v>0</v>
      </c>
      <c r="B10" s="548">
        <f>Voer!A10</f>
        <v>0</v>
      </c>
      <c r="C10" s="483">
        <f>Voer!B10</f>
        <v>0</v>
      </c>
      <c r="D10" s="173" t="e">
        <f>Voer!C10</f>
        <v>#DIV/0!</v>
      </c>
      <c r="E10" s="305">
        <f>Voer!D10</f>
        <v>0</v>
      </c>
      <c r="F10" s="309" t="e">
        <f t="shared" si="0"/>
        <v>#DIV/0!</v>
      </c>
      <c r="G10" s="148" t="e">
        <f t="shared" si="1"/>
        <v>#DIV/0!</v>
      </c>
      <c r="I10" s="110" t="str">
        <f>Selectievakken!H10</f>
        <v>Veldbonen</v>
      </c>
      <c r="J10" s="170">
        <f t="shared" si="2"/>
        <v>0</v>
      </c>
    </row>
    <row r="11" spans="1:10" x14ac:dyDescent="0.25">
      <c r="A11" s="482">
        <v>0</v>
      </c>
      <c r="B11" s="548">
        <f>Voer!A11</f>
        <v>0</v>
      </c>
      <c r="C11" s="483">
        <f>Voer!B11</f>
        <v>0</v>
      </c>
      <c r="D11" s="173" t="e">
        <f>Voer!C11</f>
        <v>#DIV/0!</v>
      </c>
      <c r="E11" s="305">
        <f>Voer!D11</f>
        <v>0</v>
      </c>
      <c r="F11" s="309" t="e">
        <f t="shared" si="0"/>
        <v>#DIV/0!</v>
      </c>
      <c r="G11" s="148" t="e">
        <f t="shared" si="1"/>
        <v>#DIV/0!</v>
      </c>
      <c r="I11" s="110" t="str">
        <f>Selectievakken!H11</f>
        <v>Snijmais</v>
      </c>
      <c r="J11" s="170">
        <f t="shared" si="2"/>
        <v>0</v>
      </c>
    </row>
    <row r="12" spans="1:10" x14ac:dyDescent="0.25">
      <c r="A12" s="482">
        <v>0</v>
      </c>
      <c r="B12" s="548">
        <f>Voer!A12</f>
        <v>0</v>
      </c>
      <c r="C12" s="483">
        <f>Voer!B12</f>
        <v>0</v>
      </c>
      <c r="D12" s="173" t="e">
        <f>Voer!C12</f>
        <v>#DIV/0!</v>
      </c>
      <c r="E12" s="305">
        <f>Voer!D12</f>
        <v>0</v>
      </c>
      <c r="F12" s="309" t="e">
        <f t="shared" si="0"/>
        <v>#DIV/0!</v>
      </c>
      <c r="G12" s="148" t="e">
        <f t="shared" si="1"/>
        <v>#DIV/0!</v>
      </c>
      <c r="I12" s="110" t="str">
        <f>Selectievakken!H12</f>
        <v>Korrelmais</v>
      </c>
      <c r="J12" s="170">
        <f t="shared" si="2"/>
        <v>0</v>
      </c>
    </row>
    <row r="13" spans="1:10" x14ac:dyDescent="0.25">
      <c r="A13" s="482">
        <v>0</v>
      </c>
      <c r="B13" s="548">
        <f>Voer!A13</f>
        <v>0</v>
      </c>
      <c r="C13" s="305" t="str">
        <f>Voer!B14</f>
        <v>Correctie vers gras</v>
      </c>
      <c r="D13" s="305">
        <f>Voer!C14</f>
        <v>0</v>
      </c>
      <c r="E13" s="305">
        <f>Voer!D14</f>
        <v>0</v>
      </c>
      <c r="F13" s="305">
        <f>Voer!E14</f>
        <v>0</v>
      </c>
      <c r="G13" s="148">
        <f t="shared" si="1"/>
        <v>0</v>
      </c>
      <c r="I13" s="110" t="str">
        <f>Selectievakken!H13</f>
        <v>Voederbieten</v>
      </c>
      <c r="J13" s="170">
        <f t="shared" si="2"/>
        <v>0</v>
      </c>
    </row>
    <row r="14" spans="1:10" x14ac:dyDescent="0.25">
      <c r="A14" s="476">
        <f>Transformatieblad!B11</f>
        <v>0</v>
      </c>
      <c r="B14" s="398" t="s">
        <v>141</v>
      </c>
      <c r="C14" s="156" t="str">
        <f>Selectievakken!H6</f>
        <v>Extensief kruidenrijk grasland</v>
      </c>
      <c r="D14" s="173">
        <f>Selectievakken!J7</f>
        <v>3500</v>
      </c>
      <c r="E14" s="305">
        <f>Selectievakken!K7</f>
        <v>550</v>
      </c>
      <c r="F14" s="309">
        <f t="shared" si="0"/>
        <v>0</v>
      </c>
      <c r="G14" s="148">
        <f t="shared" si="1"/>
        <v>0</v>
      </c>
      <c r="I14" s="110" t="str">
        <f>Selectievakken!H14</f>
        <v>Granen</v>
      </c>
      <c r="J14" s="170">
        <f t="shared" si="2"/>
        <v>0</v>
      </c>
    </row>
    <row r="15" spans="1:10" x14ac:dyDescent="0.25">
      <c r="A15" s="161">
        <f>SUM(A4:A13)</f>
        <v>10</v>
      </c>
      <c r="B15" s="549">
        <f>SUM(B4:B14)</f>
        <v>0</v>
      </c>
      <c r="C15" s="4"/>
      <c r="D15" s="160"/>
      <c r="E15" s="4"/>
      <c r="F15" s="338" t="e">
        <f>SUM(F4:F14)</f>
        <v>#DIV/0!</v>
      </c>
      <c r="G15" s="316" t="e">
        <f>SUM(G4:G14)</f>
        <v>#DIV/0!</v>
      </c>
      <c r="I15" s="110" t="str">
        <f>Selectievakken!H15</f>
        <v>Overig</v>
      </c>
      <c r="J15" s="27">
        <f t="shared" si="2"/>
        <v>0</v>
      </c>
    </row>
    <row r="16" spans="1:10" x14ac:dyDescent="0.25">
      <c r="A16" s="339">
        <f>Voer!A15+Transformatieblad!B16-'Voer NIL'!A15</f>
        <v>-10</v>
      </c>
      <c r="C16" s="2" t="s">
        <v>256</v>
      </c>
      <c r="I16" s="177" t="s">
        <v>101</v>
      </c>
      <c r="J16" s="506" t="e">
        <f>SUM(J3:J7)/(A15-J8)</f>
        <v>#DIV/0!</v>
      </c>
    </row>
    <row r="18" spans="1:8" x14ac:dyDescent="0.25">
      <c r="A18" s="22" t="str">
        <f>Voer!A17</f>
        <v>Aankoop voer</v>
      </c>
      <c r="B18" s="100" t="str">
        <f>Voer!B17</f>
        <v>kg</v>
      </c>
      <c r="C18" s="152" t="str">
        <f>Voer!C17</f>
        <v>VEM</v>
      </c>
      <c r="D18" s="151" t="str">
        <f>Voer!D17</f>
        <v>Totaal VEM</v>
      </c>
      <c r="E18" s="100" t="s">
        <v>257</v>
      </c>
      <c r="F18" s="82" t="s">
        <v>258</v>
      </c>
      <c r="G18" s="100" t="s">
        <v>179</v>
      </c>
      <c r="H18" s="100" t="s">
        <v>259</v>
      </c>
    </row>
    <row r="19" spans="1:8" x14ac:dyDescent="0.25">
      <c r="A19" s="110" t="str">
        <f>Voer!A18</f>
        <v>Snijmais kg ds</v>
      </c>
      <c r="B19" s="173">
        <f>Voer!B18-Selectievakken!J11*'Voer NIL'!E19</f>
        <v>0</v>
      </c>
      <c r="C19" s="305">
        <f>Voer!C18</f>
        <v>0</v>
      </c>
      <c r="D19" s="172">
        <f>Voer!D18-'Voer NIL'!H19</f>
        <v>0</v>
      </c>
      <c r="E19" s="434">
        <f>J11-Voer!G26</f>
        <v>0</v>
      </c>
      <c r="F19" s="570">
        <v>1750</v>
      </c>
      <c r="G19" s="560">
        <f>E19*F19</f>
        <v>0</v>
      </c>
      <c r="H19" s="98">
        <f>(Selectievakken!J11*Selectievakken!K11/1000)*E19</f>
        <v>0</v>
      </c>
    </row>
    <row r="20" spans="1:8" x14ac:dyDescent="0.25">
      <c r="A20" s="170" t="str">
        <f>Voer!A19</f>
        <v>Gras kg ds</v>
      </c>
      <c r="B20" s="9">
        <f>Voer!B19</f>
        <v>0</v>
      </c>
      <c r="C20" s="309">
        <f>Voer!C19</f>
        <v>0</v>
      </c>
      <c r="D20" s="173">
        <f>Voer!D19</f>
        <v>0</v>
      </c>
    </row>
    <row r="21" spans="1:8" x14ac:dyDescent="0.25">
      <c r="A21" s="110" t="str">
        <f>Voer!A20</f>
        <v>Krachtvoer</v>
      </c>
      <c r="B21" s="569" t="e">
        <f>Voer!B20/Bedrijfsgegevens!B17*'Bedrijfsgegevens NIL'!B14</f>
        <v>#DIV/0!</v>
      </c>
      <c r="C21" s="9">
        <f>Voer!C20</f>
        <v>0</v>
      </c>
      <c r="D21" s="173">
        <f>Voer!D20</f>
        <v>0</v>
      </c>
    </row>
    <row r="22" spans="1:8" x14ac:dyDescent="0.25">
      <c r="A22" s="170" t="str">
        <f>Voer!A21</f>
        <v>Mineralen en kalverpoeder</v>
      </c>
      <c r="B22" s="9">
        <f>Voer!B21</f>
        <v>0</v>
      </c>
      <c r="C22" s="309">
        <f>Voer!C21</f>
        <v>0</v>
      </c>
      <c r="D22" s="173">
        <f>Voer!D21</f>
        <v>0</v>
      </c>
    </row>
    <row r="23" spans="1:8" x14ac:dyDescent="0.25">
      <c r="A23" s="170" t="str">
        <f>Voer!A22</f>
        <v>Overig ruwvoer en bijproducten kg ds</v>
      </c>
      <c r="B23" s="9">
        <f>Voer!B22</f>
        <v>0</v>
      </c>
      <c r="C23" s="309">
        <f>Voer!C22</f>
        <v>0</v>
      </c>
      <c r="D23" s="173">
        <f>Voer!D22</f>
        <v>0</v>
      </c>
    </row>
    <row r="24" spans="1:8" x14ac:dyDescent="0.25">
      <c r="A24" s="170" t="str">
        <f>Voer!A23</f>
        <v>Overig</v>
      </c>
      <c r="B24" s="399">
        <f>Voer!B23</f>
        <v>0</v>
      </c>
      <c r="C24" s="399">
        <f>Voer!C23</f>
        <v>0</v>
      </c>
      <c r="D24" s="160">
        <f>Voer!D23</f>
        <v>0</v>
      </c>
    </row>
    <row r="25" spans="1:8" x14ac:dyDescent="0.25">
      <c r="A25" s="401" t="s">
        <v>8</v>
      </c>
      <c r="B25" s="172"/>
      <c r="C25" s="305"/>
      <c r="D25" s="550">
        <f>SUM(D19:D24)</f>
        <v>0</v>
      </c>
    </row>
    <row r="26" spans="1:8" x14ac:dyDescent="0.25">
      <c r="A26" s="155"/>
      <c r="B26" s="402"/>
      <c r="C26" s="402"/>
      <c r="D26" s="402"/>
    </row>
    <row r="27" spans="1:8" x14ac:dyDescent="0.25">
      <c r="A27" s="100"/>
      <c r="B27" s="441" t="s">
        <v>122</v>
      </c>
      <c r="C27" s="559" t="s">
        <v>254</v>
      </c>
      <c r="D27" s="305"/>
    </row>
    <row r="28" spans="1:8" x14ac:dyDescent="0.25">
      <c r="A28" s="98" t="str">
        <f>Voer!A26</f>
        <v>Krachtvoerprijs</v>
      </c>
      <c r="B28" s="143" t="e">
        <f>Voer!B26</f>
        <v>#DIV/0!</v>
      </c>
      <c r="C28" s="571" t="e">
        <f>B28</f>
        <v>#DIV/0!</v>
      </c>
      <c r="D28" s="305"/>
    </row>
    <row r="29" spans="1:8" x14ac:dyDescent="0.25">
      <c r="A29" s="156"/>
      <c r="B29" s="305"/>
      <c r="C29" s="305"/>
      <c r="D29" s="305"/>
    </row>
    <row r="31" spans="1:8" x14ac:dyDescent="0.25">
      <c r="A31" s="100" t="str">
        <f>Voer!A28</f>
        <v>VEM behoefte</v>
      </c>
      <c r="B31" s="100"/>
      <c r="C31" s="100" t="str">
        <f>Voer!C28</f>
        <v>VEM behoefte per dag</v>
      </c>
      <c r="D31" s="100" t="str">
        <f>Voer!D28</f>
        <v>KVEM behoefte per jaar</v>
      </c>
      <c r="E31" s="305"/>
    </row>
    <row r="32" spans="1:8" x14ac:dyDescent="0.25">
      <c r="A32" s="176" t="str">
        <f>Voer!A29</f>
        <v>Jongvee &lt; 1 jaar</v>
      </c>
      <c r="B32" s="155">
        <f>'Bedrijfsgegevens NIL'!B4</f>
        <v>0</v>
      </c>
      <c r="C32" s="402">
        <f>Voer!C29</f>
        <v>3850</v>
      </c>
      <c r="D32" s="147">
        <f>B32*C32*365/1000</f>
        <v>0</v>
      </c>
      <c r="E32" s="305"/>
    </row>
    <row r="33" spans="1:6" x14ac:dyDescent="0.25">
      <c r="A33" s="110" t="str">
        <f>Voer!A30</f>
        <v>Jongvee &gt; 1 jaar</v>
      </c>
      <c r="B33" s="156">
        <f>'Bedrijfsgegevens NIL'!B5</f>
        <v>0</v>
      </c>
      <c r="C33" s="305">
        <f>Voer!C30</f>
        <v>7008</v>
      </c>
      <c r="D33" s="148">
        <f t="shared" ref="D33:D34" si="3">B33*C33*365/1000</f>
        <v>0</v>
      </c>
      <c r="E33" s="305"/>
    </row>
    <row r="34" spans="1:6" x14ac:dyDescent="0.25">
      <c r="A34" s="116" t="str">
        <f>Voer!A31</f>
        <v>Melkvee</v>
      </c>
      <c r="B34" s="1">
        <f>'Bedrijfsgegevens NIL'!B3</f>
        <v>0</v>
      </c>
      <c r="C34" s="4" t="e">
        <f>INDEX(Selectievakken!$O$5:$U$22,MATCH('Bedrijfsgegevens NIL'!$B$10,Selectievakken!$N$5:$N$22,1),MATCH('Bedrijfsgegevens NIL'!$B$12,Selectievakken!$O$4:$U$4,0))</f>
        <v>#N/A</v>
      </c>
      <c r="D34" s="150" t="e">
        <f t="shared" si="3"/>
        <v>#N/A</v>
      </c>
      <c r="E34" s="305"/>
    </row>
    <row r="35" spans="1:6" x14ac:dyDescent="0.25">
      <c r="A35" s="116" t="str">
        <f>Voer!A32</f>
        <v>Totaal</v>
      </c>
      <c r="B35" s="1"/>
      <c r="C35" s="4"/>
      <c r="D35" s="316" t="e">
        <f>SUM(D32:D34)</f>
        <v>#N/A</v>
      </c>
    </row>
    <row r="38" spans="1:6" x14ac:dyDescent="0.25">
      <c r="A38" s="22" t="s">
        <v>102</v>
      </c>
      <c r="B38" s="23"/>
      <c r="C38" s="99"/>
      <c r="D38" s="99"/>
      <c r="E38" s="605" t="s">
        <v>260</v>
      </c>
      <c r="F38" s="605"/>
    </row>
    <row r="39" spans="1:6" x14ac:dyDescent="0.25">
      <c r="A39" s="98" t="s">
        <v>103</v>
      </c>
      <c r="B39" s="175" t="e">
        <f>G15+D25-D35</f>
        <v>#DIV/0!</v>
      </c>
      <c r="C39" s="175" t="s">
        <v>465</v>
      </c>
      <c r="D39" s="143" t="e">
        <f>B39*0.103</f>
        <v>#DIV/0!</v>
      </c>
      <c r="E39" s="606" t="s">
        <v>201</v>
      </c>
      <c r="F39" s="607"/>
    </row>
    <row r="53" spans="1:2" x14ac:dyDescent="0.25">
      <c r="A53">
        <f>(J11-Voer!G26)*(Selectievakken!J11*Selectievakken!K11/1000)</f>
        <v>0</v>
      </c>
      <c r="B53">
        <f>A53*0.141</f>
        <v>0</v>
      </c>
    </row>
  </sheetData>
  <mergeCells count="3">
    <mergeCell ref="A2:G2"/>
    <mergeCell ref="E38:F38"/>
    <mergeCell ref="E39:F39"/>
  </mergeCell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0AD662B-3E55-4CA3-BE01-0FA42E99634A}">
          <x14:formula1>
            <xm:f>Selectievakken!$A$15:$A$16</xm:f>
          </x14:formula1>
          <xm:sqref>E39:F39</xm:sqref>
        </x14:dataValidation>
        <x14:dataValidation type="list" allowBlank="1" showInputMessage="1" showErrorMessage="1" xr:uid="{F7B11A6C-39AF-498D-B0CB-A4CE19457A82}">
          <x14:formula1>
            <xm:f>Selectievakken!$H$3:$H$14</xm:f>
          </x14:formula1>
          <xm:sqref>C4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2593B7C55FD04CA4726D493DDFB541" ma:contentTypeVersion="12" ma:contentTypeDescription="Een nieuw document maken." ma:contentTypeScope="" ma:versionID="fad869fdf8ba4bc97def5daa02659468">
  <xsd:schema xmlns:xsd="http://www.w3.org/2001/XMLSchema" xmlns:xs="http://www.w3.org/2001/XMLSchema" xmlns:p="http://schemas.microsoft.com/office/2006/metadata/properties" xmlns:ns2="df864f96-0b1e-4436-ac77-36ef7e40c3b1" xmlns:ns3="55750a99-809c-4236-8019-04393db03aa6" targetNamespace="http://schemas.microsoft.com/office/2006/metadata/properties" ma:root="true" ma:fieldsID="053c1f2864ea4adb291efaf25b8b3380" ns2:_="" ns3:_="">
    <xsd:import namespace="df864f96-0b1e-4436-ac77-36ef7e40c3b1"/>
    <xsd:import namespace="55750a99-809c-4236-8019-04393db03aa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864f96-0b1e-4436-ac77-36ef7e40c3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5750a99-809c-4236-8019-04393db03aa6" elementFormDefault="qualified">
    <xsd:import namespace="http://schemas.microsoft.com/office/2006/documentManagement/types"/>
    <xsd:import namespace="http://schemas.microsoft.com/office/infopath/2007/PartnerControls"/>
    <xsd:element name="SharedWithUsers" ma:index="17"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FEEC39-1CE1-4E2D-89BB-C20E635CE6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864f96-0b1e-4436-ac77-36ef7e40c3b1"/>
    <ds:schemaRef ds:uri="55750a99-809c-4236-8019-04393db03a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BB77ECF-A270-4942-A2E1-E853A68E2110}">
  <ds:schemaRefs>
    <ds:schemaRef ds:uri="http://purl.org/dc/dcmitype/"/>
    <ds:schemaRef ds:uri="http://purl.org/dc/elements/1.1/"/>
    <ds:schemaRef ds:uri="http://schemas.microsoft.com/office/2006/documentManagement/types"/>
    <ds:schemaRef ds:uri="55750a99-809c-4236-8019-04393db03aa6"/>
    <ds:schemaRef ds:uri="df864f96-0b1e-4436-ac77-36ef7e40c3b1"/>
    <ds:schemaRef ds:uri="http://schemas.microsoft.com/office/infopath/2007/PartnerControls"/>
    <ds:schemaRef ds:uri="http://schemas.microsoft.com/office/2006/metadata/properties"/>
    <ds:schemaRef ds:uri="http://schemas.openxmlformats.org/package/2006/metadata/core-properties"/>
    <ds:schemaRef ds:uri="http://www.w3.org/XML/1998/namespace"/>
    <ds:schemaRef ds:uri="http://purl.org/dc/terms/"/>
  </ds:schemaRefs>
</ds:datastoreItem>
</file>

<file path=customXml/itemProps3.xml><?xml version="1.0" encoding="utf-8"?>
<ds:datastoreItem xmlns:ds="http://schemas.openxmlformats.org/officeDocument/2006/customXml" ds:itemID="{A16BC299-89C2-4B6D-90E0-39D89C9B42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Voorblad rekentool</vt:lpstr>
      <vt:lpstr>Bedrijfsgegevens</vt:lpstr>
      <vt:lpstr>Winst en verliesrekening</vt:lpstr>
      <vt:lpstr>Voer</vt:lpstr>
      <vt:lpstr>Mest</vt:lpstr>
      <vt:lpstr>Transformatieblad</vt:lpstr>
      <vt:lpstr>Maatregelen</vt:lpstr>
      <vt:lpstr>Bedrijfsgegevens NIL</vt:lpstr>
      <vt:lpstr>Voer NIL</vt:lpstr>
      <vt:lpstr>Mest NIL</vt:lpstr>
      <vt:lpstr>Winst en verlies NIL</vt:lpstr>
      <vt:lpstr>Samenvattende tabel</vt:lpstr>
      <vt:lpstr>Toelichting maatregelen</vt:lpstr>
      <vt:lpstr>Financiering grond</vt:lpstr>
      <vt:lpstr>Selectievakken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Schrijnwerkers</dc:creator>
  <cp:keywords/>
  <dc:description/>
  <cp:lastModifiedBy>Sergey</cp:lastModifiedBy>
  <cp:revision/>
  <dcterms:created xsi:type="dcterms:W3CDTF">2021-04-07T08:00:12Z</dcterms:created>
  <dcterms:modified xsi:type="dcterms:W3CDTF">2021-06-28T08:54:44Z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0x010100262593B7C55FD04CA4726D493DDFB541</vt:lpwstr>
  </property>
</Properties>
</file>